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group\Downloads\"/>
    </mc:Choice>
  </mc:AlternateContent>
  <xr:revisionPtr revIDLastSave="0" documentId="8_{419FCE24-26D0-42E1-812B-8472BD5C970D}" xr6:coauthVersionLast="47" xr6:coauthVersionMax="47" xr10:uidLastSave="{00000000-0000-0000-0000-000000000000}"/>
  <bookViews>
    <workbookView xWindow="-108" yWindow="-108" windowWidth="23256" windowHeight="13896" tabRatio="500" xr2:uid="{00000000-000D-0000-FFFF-FFFF00000000}"/>
  </bookViews>
  <sheets>
    <sheet name="Finder" sheetId="1" r:id="rId1"/>
    <sheet name="All Data" sheetId="2" r:id="rId2"/>
    <sheet name="Engine" sheetId="3" state="hidden" r:id="rId3"/>
    <sheet name="About" sheetId="4" r:id="rId4"/>
  </sheets>
  <definedNames>
    <definedName name="_xlnm._FilterDatabase" localSheetId="1" hidden="1">'All Data'!$A$1:$J$419</definedName>
    <definedName name="ConstructionList">OFFSET(Engine!$AB$2,0,0,Engine!$AB$1+1,1)</definedName>
    <definedName name="ElementList">OFFSET(Engine!$AJ$2,0,0,8,1)</definedName>
    <definedName name="_xlnm.Print_Titles" localSheetId="0">Finder!$16:$16</definedName>
    <definedName name="RegionList">OFFSET(Engine!$AF$2,0,0,Engine!$AF$1+1,1)</definedName>
    <definedName name="SubtypeList">OFFSET(Engine!$AD$2,0,0,Engine!$AD$1+1,1)</definedName>
    <definedName name="TypeList">OFFSET(Engine!$Z$2,0,0,Engine!$Z$1+1,1)</definedName>
    <definedName name="YearList">OFFSET(Engine!$AH$2,0,0,Engine!$AH$1+1,1)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35" i="4" l="1"/>
  <c r="B32" i="4"/>
  <c r="B29" i="4"/>
  <c r="A199" i="3"/>
  <c r="A177" i="3"/>
  <c r="A161" i="3"/>
  <c r="A159" i="3"/>
  <c r="D140" i="3"/>
  <c r="D136" i="3"/>
  <c r="A106" i="3"/>
  <c r="D103" i="3"/>
  <c r="D102" i="3"/>
  <c r="C102" i="3"/>
  <c r="D101" i="3"/>
  <c r="D91" i="3"/>
  <c r="D90" i="3"/>
  <c r="A90" i="3"/>
  <c r="A85" i="3"/>
  <c r="D84" i="3"/>
  <c r="A83" i="3"/>
  <c r="D80" i="3"/>
  <c r="A80" i="3"/>
  <c r="D79" i="3"/>
  <c r="D71" i="3"/>
  <c r="D69" i="3"/>
  <c r="A68" i="3"/>
  <c r="A67" i="3"/>
  <c r="H67" i="3" s="1"/>
  <c r="D65" i="3"/>
  <c r="A65" i="3"/>
  <c r="D62" i="3"/>
  <c r="D59" i="3"/>
  <c r="A58" i="3"/>
  <c r="D56" i="3"/>
  <c r="A56" i="3"/>
  <c r="A55" i="3"/>
  <c r="A52" i="3"/>
  <c r="A51" i="3"/>
  <c r="D48" i="3"/>
  <c r="A42" i="3"/>
  <c r="D41" i="3"/>
  <c r="A41" i="3"/>
  <c r="D40" i="3"/>
  <c r="A37" i="3"/>
  <c r="H37" i="3" s="1"/>
  <c r="D36" i="3"/>
  <c r="A36" i="3"/>
  <c r="H36" i="3" s="1"/>
  <c r="A34" i="3"/>
  <c r="D27" i="3"/>
  <c r="D26" i="3"/>
  <c r="A25" i="3"/>
  <c r="A21" i="3"/>
  <c r="A20" i="3"/>
  <c r="D19" i="3"/>
  <c r="A18" i="3"/>
  <c r="H18" i="3" s="1"/>
  <c r="D15" i="3"/>
  <c r="A15" i="3"/>
  <c r="D14" i="3"/>
  <c r="A12" i="3"/>
  <c r="D11" i="3"/>
  <c r="A11" i="3"/>
  <c r="D8" i="3"/>
  <c r="BA7" i="3"/>
  <c r="BA15" i="3" s="1"/>
  <c r="H7" i="3"/>
  <c r="A7" i="3"/>
  <c r="BA6" i="3"/>
  <c r="F134" i="3" s="1"/>
  <c r="D6" i="3"/>
  <c r="A6" i="3"/>
  <c r="BA5" i="3"/>
  <c r="E158" i="3" s="1"/>
  <c r="A5" i="3"/>
  <c r="H5" i="3" s="1"/>
  <c r="BA4" i="3"/>
  <c r="D4" i="3"/>
  <c r="A4" i="3"/>
  <c r="BA3" i="3"/>
  <c r="C65" i="3" s="1"/>
  <c r="D3" i="3"/>
  <c r="BA2" i="3"/>
  <c r="B85" i="3" s="1"/>
  <c r="A2" i="3"/>
  <c r="H2" i="3" s="1"/>
  <c r="I2" i="3" s="1"/>
  <c r="J2" i="3" s="1"/>
  <c r="BB1" i="3"/>
  <c r="BA1" i="3"/>
  <c r="A91" i="3" s="1"/>
  <c r="F20" i="3" l="1"/>
  <c r="F87" i="3"/>
  <c r="F74" i="3"/>
  <c r="F21" i="3"/>
  <c r="F128" i="3"/>
  <c r="F10" i="3"/>
  <c r="F33" i="3"/>
  <c r="F167" i="3"/>
  <c r="F239" i="3"/>
  <c r="F53" i="3"/>
  <c r="F2" i="3"/>
  <c r="F5" i="3"/>
  <c r="F66" i="3"/>
  <c r="F332" i="3"/>
  <c r="F6" i="3"/>
  <c r="F97" i="3"/>
  <c r="F49" i="3"/>
  <c r="F85" i="3"/>
  <c r="C6" i="3"/>
  <c r="C127" i="3"/>
  <c r="C36" i="3"/>
  <c r="C40" i="3"/>
  <c r="C173" i="3"/>
  <c r="C3" i="3"/>
  <c r="BB3" i="3"/>
  <c r="K3" i="1" s="1"/>
  <c r="C25" i="3"/>
  <c r="C73" i="3"/>
  <c r="C18" i="3"/>
  <c r="C4" i="3"/>
  <c r="C79" i="3"/>
  <c r="T79" i="3" s="1"/>
  <c r="F12" i="3"/>
  <c r="F22" i="3"/>
  <c r="F54" i="3"/>
  <c r="F70" i="3"/>
  <c r="F153" i="3"/>
  <c r="F13" i="3"/>
  <c r="F23" i="3"/>
  <c r="F96" i="3"/>
  <c r="F25" i="3"/>
  <c r="F57" i="3"/>
  <c r="F77" i="3"/>
  <c r="F15" i="3"/>
  <c r="F3" i="3"/>
  <c r="F7" i="3"/>
  <c r="F16" i="3"/>
  <c r="F26" i="3"/>
  <c r="F119" i="3"/>
  <c r="F124" i="3"/>
  <c r="F17" i="3"/>
  <c r="F44" i="3"/>
  <c r="F27" i="3"/>
  <c r="F45" i="3"/>
  <c r="F62" i="3"/>
  <c r="F117" i="3"/>
  <c r="F29" i="3"/>
  <c r="F47" i="3"/>
  <c r="F63" i="3"/>
  <c r="F8" i="3"/>
  <c r="F31" i="3"/>
  <c r="F9" i="3"/>
  <c r="F19" i="3"/>
  <c r="F32" i="3"/>
  <c r="F48" i="3"/>
  <c r="F125" i="3"/>
  <c r="E5" i="3"/>
  <c r="E33" i="3"/>
  <c r="E9" i="3"/>
  <c r="E68" i="3"/>
  <c r="BB5" i="3"/>
  <c r="K5" i="1" s="1"/>
  <c r="E17" i="3"/>
  <c r="E25" i="3"/>
  <c r="E58" i="3"/>
  <c r="E103" i="3"/>
  <c r="E156" i="3"/>
  <c r="E35" i="3"/>
  <c r="E69" i="3"/>
  <c r="E48" i="3"/>
  <c r="E61" i="3"/>
  <c r="E117" i="3"/>
  <c r="E26" i="3"/>
  <c r="E8" i="3"/>
  <c r="E2" i="3"/>
  <c r="E6" i="3"/>
  <c r="E62" i="3"/>
  <c r="E71" i="3"/>
  <c r="E36" i="3"/>
  <c r="E27" i="3"/>
  <c r="E73" i="3"/>
  <c r="E125" i="3"/>
  <c r="E14" i="3"/>
  <c r="E54" i="3"/>
  <c r="E76" i="3"/>
  <c r="E122" i="3"/>
  <c r="E128" i="3"/>
  <c r="E16" i="3"/>
  <c r="E49" i="3"/>
  <c r="E63" i="3"/>
  <c r="E90" i="3"/>
  <c r="E66" i="3"/>
  <c r="E79" i="3"/>
  <c r="E172" i="3"/>
  <c r="E13" i="3"/>
  <c r="E37" i="3"/>
  <c r="E74" i="3"/>
  <c r="E7" i="3"/>
  <c r="E29" i="3"/>
  <c r="E38" i="3"/>
  <c r="E21" i="3"/>
  <c r="E4" i="3"/>
  <c r="E31" i="3"/>
  <c r="E65" i="3"/>
  <c r="E97" i="3"/>
  <c r="E22" i="3"/>
  <c r="E15" i="3"/>
  <c r="E32" i="3"/>
  <c r="E133" i="3"/>
  <c r="B45" i="3"/>
  <c r="B79" i="3"/>
  <c r="B36" i="3"/>
  <c r="K36" i="3" s="1"/>
  <c r="B132" i="3"/>
  <c r="K132" i="3" s="1"/>
  <c r="B8" i="3"/>
  <c r="B27" i="3"/>
  <c r="B29" i="3"/>
  <c r="B16" i="3"/>
  <c r="B100" i="3"/>
  <c r="B24" i="3"/>
  <c r="B25" i="3"/>
  <c r="K25" i="3" s="1"/>
  <c r="B4" i="3"/>
  <c r="T4" i="3" s="1"/>
  <c r="B261" i="3"/>
  <c r="B15" i="3"/>
  <c r="K15" i="3" s="1"/>
  <c r="B68" i="3"/>
  <c r="B173" i="3"/>
  <c r="B11" i="3"/>
  <c r="B193" i="3"/>
  <c r="B73" i="3"/>
  <c r="B41" i="3"/>
  <c r="K41" i="3" s="1"/>
  <c r="B65" i="3"/>
  <c r="K65" i="3" s="1"/>
  <c r="B86" i="3"/>
  <c r="B49" i="3"/>
  <c r="B128" i="3"/>
  <c r="B30" i="3"/>
  <c r="B26" i="3"/>
  <c r="N26" i="3" s="1"/>
  <c r="B108" i="3"/>
  <c r="B121" i="3"/>
  <c r="B6" i="3"/>
  <c r="Q6" i="3" s="1"/>
  <c r="B84" i="3"/>
  <c r="B14" i="3"/>
  <c r="K14" i="3" s="1"/>
  <c r="B153" i="3"/>
  <c r="B90" i="3"/>
  <c r="A13" i="3"/>
  <c r="H13" i="3" s="1"/>
  <c r="A57" i="3"/>
  <c r="A86" i="3"/>
  <c r="H86" i="3" s="1"/>
  <c r="A132" i="3"/>
  <c r="A14" i="3"/>
  <c r="H14" i="3" s="1"/>
  <c r="A79" i="3"/>
  <c r="A147" i="3"/>
  <c r="H147" i="3" s="1"/>
  <c r="A3" i="3"/>
  <c r="A19" i="3"/>
  <c r="H19" i="3" s="1"/>
  <c r="A40" i="3"/>
  <c r="A69" i="3"/>
  <c r="H69" i="3" s="1"/>
  <c r="A26" i="3"/>
  <c r="A50" i="3"/>
  <c r="BA8" i="3"/>
  <c r="BA11" i="3"/>
  <c r="BA12" i="3"/>
  <c r="BA16" i="3"/>
  <c r="BA13" i="3"/>
  <c r="BA9" i="3"/>
  <c r="G315" i="3" s="1"/>
  <c r="BA14" i="3"/>
  <c r="H12" i="3"/>
  <c r="H79" i="3"/>
  <c r="Z3" i="3"/>
  <c r="H40" i="3"/>
  <c r="N4" i="3"/>
  <c r="H4" i="3"/>
  <c r="C44" i="3"/>
  <c r="Q132" i="3"/>
  <c r="H132" i="3"/>
  <c r="K1" i="1"/>
  <c r="H25" i="3"/>
  <c r="C418" i="3"/>
  <c r="C416" i="3"/>
  <c r="C368" i="3"/>
  <c r="C407" i="3"/>
  <c r="C399" i="3"/>
  <c r="C391" i="3"/>
  <c r="C383" i="3"/>
  <c r="C375" i="3"/>
  <c r="C370" i="3"/>
  <c r="C365" i="3"/>
  <c r="C405" i="3"/>
  <c r="C397" i="3"/>
  <c r="C389" i="3"/>
  <c r="C381" i="3"/>
  <c r="C373" i="3"/>
  <c r="C413" i="3"/>
  <c r="C410" i="3"/>
  <c r="C392" i="3"/>
  <c r="C379" i="3"/>
  <c r="C358" i="3"/>
  <c r="C401" i="3"/>
  <c r="C406" i="3"/>
  <c r="C380" i="3"/>
  <c r="C355" i="3"/>
  <c r="C348" i="3"/>
  <c r="C346" i="3"/>
  <c r="C344" i="3"/>
  <c r="C342" i="3"/>
  <c r="C340" i="3"/>
  <c r="C338" i="3"/>
  <c r="C336" i="3"/>
  <c r="C334" i="3"/>
  <c r="C402" i="3"/>
  <c r="C384" i="3"/>
  <c r="C367" i="3"/>
  <c r="C393" i="3"/>
  <c r="C366" i="3"/>
  <c r="C414" i="3"/>
  <c r="C411" i="3"/>
  <c r="C398" i="3"/>
  <c r="C372" i="3"/>
  <c r="C369" i="3"/>
  <c r="C364" i="3"/>
  <c r="C357" i="3"/>
  <c r="C404" i="3"/>
  <c r="C386" i="3"/>
  <c r="C390" i="3"/>
  <c r="C332" i="3"/>
  <c r="C376" i="3"/>
  <c r="C374" i="3"/>
  <c r="C335" i="3"/>
  <c r="C408" i="3"/>
  <c r="C394" i="3"/>
  <c r="C385" i="3"/>
  <c r="C361" i="3"/>
  <c r="C419" i="3"/>
  <c r="C378" i="3"/>
  <c r="C329" i="3"/>
  <c r="C403" i="3"/>
  <c r="C313" i="3"/>
  <c r="C341" i="3"/>
  <c r="C377" i="3"/>
  <c r="C347" i="3"/>
  <c r="C328" i="3"/>
  <c r="C327" i="3"/>
  <c r="C350" i="3"/>
  <c r="C326" i="3"/>
  <c r="C325" i="3"/>
  <c r="C315" i="3"/>
  <c r="C395" i="3"/>
  <c r="C388" i="3"/>
  <c r="C359" i="3"/>
  <c r="C331" i="3"/>
  <c r="C330" i="3"/>
  <c r="C324" i="3"/>
  <c r="C323" i="3"/>
  <c r="C387" i="3"/>
  <c r="C322" i="3"/>
  <c r="C321" i="3"/>
  <c r="C339" i="3"/>
  <c r="C320" i="3"/>
  <c r="C319" i="3"/>
  <c r="C312" i="3"/>
  <c r="C310" i="3"/>
  <c r="C308" i="3"/>
  <c r="C284" i="3"/>
  <c r="C281" i="3"/>
  <c r="C362" i="3"/>
  <c r="C343" i="3"/>
  <c r="C314" i="3"/>
  <c r="C295" i="3"/>
  <c r="C294" i="3"/>
  <c r="C290" i="3"/>
  <c r="C287" i="3"/>
  <c r="C278" i="3"/>
  <c r="C276" i="3"/>
  <c r="C274" i="3"/>
  <c r="C272" i="3"/>
  <c r="C270" i="3"/>
  <c r="C371" i="3"/>
  <c r="C351" i="3"/>
  <c r="C318" i="3"/>
  <c r="C354" i="3"/>
  <c r="C345" i="3"/>
  <c r="C280" i="3"/>
  <c r="C417" i="3"/>
  <c r="C396" i="3"/>
  <c r="C304" i="3"/>
  <c r="C293" i="3"/>
  <c r="C286" i="3"/>
  <c r="C283" i="3"/>
  <c r="C409" i="3"/>
  <c r="C307" i="3"/>
  <c r="C302" i="3"/>
  <c r="C382" i="3"/>
  <c r="C296" i="3"/>
  <c r="C363" i="3"/>
  <c r="C316" i="3"/>
  <c r="C279" i="3"/>
  <c r="C267" i="3"/>
  <c r="C262" i="3"/>
  <c r="C264" i="3"/>
  <c r="C247" i="3"/>
  <c r="C245" i="3"/>
  <c r="C243" i="3"/>
  <c r="C412" i="3"/>
  <c r="C269" i="3"/>
  <c r="C268" i="3"/>
  <c r="C249" i="3"/>
  <c r="C337" i="3"/>
  <c r="C317" i="3"/>
  <c r="C301" i="3"/>
  <c r="C292" i="3"/>
  <c r="C266" i="3"/>
  <c r="C250" i="3"/>
  <c r="C400" i="3"/>
  <c r="C303" i="3"/>
  <c r="C282" i="3"/>
  <c r="C248" i="3"/>
  <c r="C305" i="3"/>
  <c r="C242" i="3"/>
  <c r="C240" i="3"/>
  <c r="C238" i="3"/>
  <c r="C236" i="3"/>
  <c r="C234" i="3"/>
  <c r="C232" i="3"/>
  <c r="C230" i="3"/>
  <c r="C415" i="3"/>
  <c r="C300" i="3"/>
  <c r="C298" i="3"/>
  <c r="C273" i="3"/>
  <c r="C265" i="3"/>
  <c r="C360" i="3"/>
  <c r="C352" i="3"/>
  <c r="C263" i="3"/>
  <c r="C349" i="3"/>
  <c r="C258" i="3"/>
  <c r="C241" i="3"/>
  <c r="C228" i="3"/>
  <c r="C220" i="3"/>
  <c r="C212" i="3"/>
  <c r="C204" i="3"/>
  <c r="C309" i="3"/>
  <c r="C260" i="3"/>
  <c r="C235" i="3"/>
  <c r="C200" i="3"/>
  <c r="C195" i="3"/>
  <c r="C297" i="3"/>
  <c r="C255" i="3"/>
  <c r="C229" i="3"/>
  <c r="C227" i="3"/>
  <c r="C219" i="3"/>
  <c r="C211" i="3"/>
  <c r="C203" i="3"/>
  <c r="C356" i="3"/>
  <c r="C226" i="3"/>
  <c r="C218" i="3"/>
  <c r="C210" i="3"/>
  <c r="C202" i="3"/>
  <c r="C197" i="3"/>
  <c r="C190" i="3"/>
  <c r="C188" i="3"/>
  <c r="C186" i="3"/>
  <c r="C184" i="3"/>
  <c r="C182" i="3"/>
  <c r="C180" i="3"/>
  <c r="C178" i="3"/>
  <c r="C176" i="3"/>
  <c r="C174" i="3"/>
  <c r="C172" i="3"/>
  <c r="C170" i="3"/>
  <c r="C168" i="3"/>
  <c r="C166" i="3"/>
  <c r="C164" i="3"/>
  <c r="C162" i="3"/>
  <c r="C160" i="3"/>
  <c r="C158" i="3"/>
  <c r="C156" i="3"/>
  <c r="C154" i="3"/>
  <c r="C152" i="3"/>
  <c r="C150" i="3"/>
  <c r="C148" i="3"/>
  <c r="C146" i="3"/>
  <c r="C253" i="3"/>
  <c r="C192" i="3"/>
  <c r="C353" i="3"/>
  <c r="C261" i="3"/>
  <c r="C256" i="3"/>
  <c r="C246" i="3"/>
  <c r="C237" i="3"/>
  <c r="C225" i="3"/>
  <c r="C217" i="3"/>
  <c r="C209" i="3"/>
  <c r="C299" i="3"/>
  <c r="C277" i="3"/>
  <c r="C223" i="3"/>
  <c r="C215" i="3"/>
  <c r="C207" i="3"/>
  <c r="C201" i="3"/>
  <c r="C288" i="3"/>
  <c r="C285" i="3"/>
  <c r="C244" i="3"/>
  <c r="C239" i="3"/>
  <c r="C224" i="3"/>
  <c r="C222" i="3"/>
  <c r="C311" i="3"/>
  <c r="C151" i="3"/>
  <c r="C131" i="3"/>
  <c r="C191" i="3"/>
  <c r="C187" i="3"/>
  <c r="C183" i="3"/>
  <c r="C179" i="3"/>
  <c r="C291" i="3"/>
  <c r="C252" i="3"/>
  <c r="C233" i="3"/>
  <c r="C175" i="3"/>
  <c r="C259" i="3"/>
  <c r="C169" i="3"/>
  <c r="C132" i="3"/>
  <c r="C251" i="3"/>
  <c r="C198" i="3"/>
  <c r="C289" i="3"/>
  <c r="C271" i="3"/>
  <c r="C205" i="3"/>
  <c r="C145" i="3"/>
  <c r="C143" i="3"/>
  <c r="C141" i="3"/>
  <c r="C139" i="3"/>
  <c r="C137" i="3"/>
  <c r="C135" i="3"/>
  <c r="C133" i="3"/>
  <c r="C213" i="3"/>
  <c r="C306" i="3"/>
  <c r="C254" i="3"/>
  <c r="C221" i="3"/>
  <c r="C196" i="3"/>
  <c r="C171" i="3"/>
  <c r="C163" i="3"/>
  <c r="C206" i="3"/>
  <c r="C185" i="3"/>
  <c r="C165" i="3"/>
  <c r="C114" i="3"/>
  <c r="C98" i="3"/>
  <c r="C82" i="3"/>
  <c r="C66" i="3"/>
  <c r="C134" i="3"/>
  <c r="C125" i="3"/>
  <c r="C109" i="3"/>
  <c r="C93" i="3"/>
  <c r="C77" i="3"/>
  <c r="C181" i="3"/>
  <c r="C157" i="3"/>
  <c r="C120" i="3"/>
  <c r="C104" i="3"/>
  <c r="C88" i="3"/>
  <c r="C72" i="3"/>
  <c r="C216" i="3"/>
  <c r="C115" i="3"/>
  <c r="C99" i="3"/>
  <c r="C199" i="3"/>
  <c r="C177" i="3"/>
  <c r="C126" i="3"/>
  <c r="C110" i="3"/>
  <c r="C94" i="3"/>
  <c r="C78" i="3"/>
  <c r="C159" i="3"/>
  <c r="C121" i="3"/>
  <c r="C105" i="3"/>
  <c r="C214" i="3"/>
  <c r="C167" i="3"/>
  <c r="C147" i="3"/>
  <c r="C117" i="3"/>
  <c r="C101" i="3"/>
  <c r="C124" i="3"/>
  <c r="C116" i="3"/>
  <c r="C63" i="3"/>
  <c r="C54" i="3"/>
  <c r="C38" i="3"/>
  <c r="C189" i="3"/>
  <c r="C118" i="3"/>
  <c r="C89" i="3"/>
  <c r="C81" i="3"/>
  <c r="C49" i="3"/>
  <c r="C33" i="3"/>
  <c r="C119" i="3"/>
  <c r="C112" i="3"/>
  <c r="C111" i="3"/>
  <c r="C96" i="3"/>
  <c r="C70" i="3"/>
  <c r="C60" i="3"/>
  <c r="C113" i="3"/>
  <c r="C92" i="3"/>
  <c r="C75" i="3"/>
  <c r="C67" i="3"/>
  <c r="C55" i="3"/>
  <c r="C39" i="3"/>
  <c r="C231" i="3"/>
  <c r="C144" i="3"/>
  <c r="C142" i="3"/>
  <c r="C107" i="3"/>
  <c r="C106" i="3"/>
  <c r="C86" i="3"/>
  <c r="C83" i="3"/>
  <c r="C50" i="3"/>
  <c r="C34" i="3"/>
  <c r="C103" i="3"/>
  <c r="C91" i="3"/>
  <c r="C51" i="3"/>
  <c r="C35" i="3"/>
  <c r="C97" i="3"/>
  <c r="C62" i="3"/>
  <c r="C61" i="3"/>
  <c r="C17" i="3"/>
  <c r="C9" i="3"/>
  <c r="C31" i="3"/>
  <c r="C28" i="3"/>
  <c r="C275" i="3"/>
  <c r="C208" i="3"/>
  <c r="C123" i="3"/>
  <c r="C87" i="3"/>
  <c r="C53" i="3"/>
  <c r="C47" i="3"/>
  <c r="C23" i="3"/>
  <c r="C10" i="3"/>
  <c r="C194" i="3"/>
  <c r="C52" i="3"/>
  <c r="C43" i="3"/>
  <c r="C333" i="3"/>
  <c r="C138" i="3"/>
  <c r="C11" i="3"/>
  <c r="C90" i="3"/>
  <c r="C76" i="3"/>
  <c r="C58" i="3"/>
  <c r="C257" i="3"/>
  <c r="C155" i="3"/>
  <c r="C122" i="3"/>
  <c r="C37" i="3"/>
  <c r="C32" i="3"/>
  <c r="C13" i="3"/>
  <c r="C7" i="3"/>
  <c r="C5" i="3"/>
  <c r="C12" i="3"/>
  <c r="C74" i="3"/>
  <c r="C42" i="3"/>
  <c r="C22" i="3"/>
  <c r="C85" i="3"/>
  <c r="C21" i="3"/>
  <c r="C129" i="3"/>
  <c r="C64" i="3"/>
  <c r="C20" i="3"/>
  <c r="C193" i="3"/>
  <c r="C153" i="3"/>
  <c r="C16" i="3"/>
  <c r="C2" i="3"/>
  <c r="C29" i="3"/>
  <c r="C149" i="3"/>
  <c r="C140" i="3"/>
  <c r="C46" i="3"/>
  <c r="C19" i="3"/>
  <c r="C8" i="3"/>
  <c r="C136" i="3"/>
  <c r="C100" i="3"/>
  <c r="C84" i="3"/>
  <c r="C48" i="3"/>
  <c r="C26" i="3"/>
  <c r="C14" i="3"/>
  <c r="C56" i="3"/>
  <c r="C108" i="3"/>
  <c r="C130" i="3"/>
  <c r="C59" i="3"/>
  <c r="C57" i="3"/>
  <c r="C161" i="3"/>
  <c r="C69" i="3"/>
  <c r="C41" i="3"/>
  <c r="C15" i="3"/>
  <c r="C30" i="3"/>
  <c r="C27" i="3"/>
  <c r="C95" i="3"/>
  <c r="C71" i="3"/>
  <c r="C45" i="3"/>
  <c r="C24" i="3"/>
  <c r="C80" i="3"/>
  <c r="C68" i="3"/>
  <c r="C128" i="3"/>
  <c r="H159" i="3"/>
  <c r="H177" i="3"/>
  <c r="Q11" i="3"/>
  <c r="H11" i="3"/>
  <c r="H15" i="3"/>
  <c r="H161" i="3"/>
  <c r="H56" i="3"/>
  <c r="H26" i="3"/>
  <c r="H50" i="3"/>
  <c r="H52" i="3"/>
  <c r="H68" i="3"/>
  <c r="K90" i="3"/>
  <c r="Q90" i="3"/>
  <c r="T90" i="3"/>
  <c r="N90" i="3"/>
  <c r="H90" i="3"/>
  <c r="H6" i="3"/>
  <c r="I7" i="3" s="1"/>
  <c r="J7" i="3" s="1"/>
  <c r="H55" i="3"/>
  <c r="H65" i="3"/>
  <c r="D407" i="3"/>
  <c r="D399" i="3"/>
  <c r="D391" i="3"/>
  <c r="D383" i="3"/>
  <c r="D375" i="3"/>
  <c r="D363" i="3"/>
  <c r="D361" i="3"/>
  <c r="D359" i="3"/>
  <c r="D357" i="3"/>
  <c r="D355" i="3"/>
  <c r="D353" i="3"/>
  <c r="D351" i="3"/>
  <c r="D406" i="3"/>
  <c r="D398" i="3"/>
  <c r="D390" i="3"/>
  <c r="D382" i="3"/>
  <c r="D374" i="3"/>
  <c r="D365" i="3"/>
  <c r="D405" i="3"/>
  <c r="D397" i="3"/>
  <c r="D389" i="3"/>
  <c r="D381" i="3"/>
  <c r="D373" i="3"/>
  <c r="D404" i="3"/>
  <c r="D396" i="3"/>
  <c r="D388" i="3"/>
  <c r="D380" i="3"/>
  <c r="D372" i="3"/>
  <c r="D418" i="3"/>
  <c r="D401" i="3"/>
  <c r="D348" i="3"/>
  <c r="D346" i="3"/>
  <c r="D344" i="3"/>
  <c r="D342" i="3"/>
  <c r="D340" i="3"/>
  <c r="D338" i="3"/>
  <c r="D336" i="3"/>
  <c r="D334" i="3"/>
  <c r="D416" i="3"/>
  <c r="D402" i="3"/>
  <c r="D384" i="3"/>
  <c r="D367" i="3"/>
  <c r="D350" i="3"/>
  <c r="D393" i="3"/>
  <c r="D366" i="3"/>
  <c r="D414" i="3"/>
  <c r="D411" i="3"/>
  <c r="D369" i="3"/>
  <c r="D364" i="3"/>
  <c r="D394" i="3"/>
  <c r="D376" i="3"/>
  <c r="D370" i="3"/>
  <c r="D368" i="3"/>
  <c r="D352" i="3"/>
  <c r="D419" i="3"/>
  <c r="D417" i="3"/>
  <c r="D412" i="3"/>
  <c r="D408" i="3"/>
  <c r="D395" i="3"/>
  <c r="D377" i="3"/>
  <c r="D335" i="3"/>
  <c r="D385" i="3"/>
  <c r="D358" i="3"/>
  <c r="D327" i="3"/>
  <c r="D325" i="3"/>
  <c r="D323" i="3"/>
  <c r="D321" i="3"/>
  <c r="D319" i="3"/>
  <c r="D317" i="3"/>
  <c r="D378" i="3"/>
  <c r="D413" i="3"/>
  <c r="D403" i="3"/>
  <c r="D392" i="3"/>
  <c r="D387" i="3"/>
  <c r="D371" i="3"/>
  <c r="D341" i="3"/>
  <c r="D410" i="3"/>
  <c r="D347" i="3"/>
  <c r="D329" i="3"/>
  <c r="D328" i="3"/>
  <c r="D326" i="3"/>
  <c r="D315" i="3"/>
  <c r="D331" i="3"/>
  <c r="D330" i="3"/>
  <c r="D324" i="3"/>
  <c r="D322" i="3"/>
  <c r="D339" i="3"/>
  <c r="D320" i="3"/>
  <c r="D312" i="3"/>
  <c r="D310" i="3"/>
  <c r="D308" i="3"/>
  <c r="D306" i="3"/>
  <c r="D304" i="3"/>
  <c r="D302" i="3"/>
  <c r="D300" i="3"/>
  <c r="D345" i="3"/>
  <c r="D318" i="3"/>
  <c r="D379" i="3"/>
  <c r="D362" i="3"/>
  <c r="D343" i="3"/>
  <c r="D314" i="3"/>
  <c r="D313" i="3"/>
  <c r="D295" i="3"/>
  <c r="D294" i="3"/>
  <c r="D290" i="3"/>
  <c r="D287" i="3"/>
  <c r="D278" i="3"/>
  <c r="D276" i="3"/>
  <c r="D274" i="3"/>
  <c r="D272" i="3"/>
  <c r="D270" i="3"/>
  <c r="D354" i="3"/>
  <c r="D337" i="3"/>
  <c r="D409" i="3"/>
  <c r="D332" i="3"/>
  <c r="D307" i="3"/>
  <c r="D309" i="3"/>
  <c r="D305" i="3"/>
  <c r="D292" i="3"/>
  <c r="D289" i="3"/>
  <c r="D316" i="3"/>
  <c r="D279" i="3"/>
  <c r="D267" i="3"/>
  <c r="D262" i="3"/>
  <c r="D299" i="3"/>
  <c r="D285" i="3"/>
  <c r="D257" i="3"/>
  <c r="D252" i="3"/>
  <c r="D286" i="3"/>
  <c r="D264" i="3"/>
  <c r="D247" i="3"/>
  <c r="D245" i="3"/>
  <c r="D243" i="3"/>
  <c r="D259" i="3"/>
  <c r="D254" i="3"/>
  <c r="D301" i="3"/>
  <c r="D266" i="3"/>
  <c r="D250" i="3"/>
  <c r="D400" i="3"/>
  <c r="D303" i="3"/>
  <c r="D284" i="3"/>
  <c r="D282" i="3"/>
  <c r="D248" i="3"/>
  <c r="D242" i="3"/>
  <c r="D240" i="3"/>
  <c r="D238" i="3"/>
  <c r="D236" i="3"/>
  <c r="D234" i="3"/>
  <c r="D232" i="3"/>
  <c r="D230" i="3"/>
  <c r="D228" i="3"/>
  <c r="D415" i="3"/>
  <c r="D298" i="3"/>
  <c r="D273" i="3"/>
  <c r="D265" i="3"/>
  <c r="D360" i="3"/>
  <c r="D263" i="3"/>
  <c r="D296" i="3"/>
  <c r="D261" i="3"/>
  <c r="D246" i="3"/>
  <c r="D283" i="3"/>
  <c r="D271" i="3"/>
  <c r="D256" i="3"/>
  <c r="D244" i="3"/>
  <c r="D260" i="3"/>
  <c r="D235" i="3"/>
  <c r="D200" i="3"/>
  <c r="D195" i="3"/>
  <c r="D297" i="3"/>
  <c r="D255" i="3"/>
  <c r="D229" i="3"/>
  <c r="D227" i="3"/>
  <c r="D219" i="3"/>
  <c r="D211" i="3"/>
  <c r="D203" i="3"/>
  <c r="D386" i="3"/>
  <c r="D356" i="3"/>
  <c r="D293" i="3"/>
  <c r="D281" i="3"/>
  <c r="D258" i="3"/>
  <c r="D226" i="3"/>
  <c r="D218" i="3"/>
  <c r="D210" i="3"/>
  <c r="D202" i="3"/>
  <c r="D197" i="3"/>
  <c r="D190" i="3"/>
  <c r="D188" i="3"/>
  <c r="D186" i="3"/>
  <c r="D184" i="3"/>
  <c r="D182" i="3"/>
  <c r="D180" i="3"/>
  <c r="D178" i="3"/>
  <c r="D176" i="3"/>
  <c r="D174" i="3"/>
  <c r="D172" i="3"/>
  <c r="D170" i="3"/>
  <c r="D168" i="3"/>
  <c r="D166" i="3"/>
  <c r="D253" i="3"/>
  <c r="D192" i="3"/>
  <c r="D237" i="3"/>
  <c r="D225" i="3"/>
  <c r="D217" i="3"/>
  <c r="D209" i="3"/>
  <c r="D280" i="3"/>
  <c r="D268" i="3"/>
  <c r="D231" i="3"/>
  <c r="D199" i="3"/>
  <c r="D288" i="3"/>
  <c r="D249" i="3"/>
  <c r="D239" i="3"/>
  <c r="D196" i="3"/>
  <c r="D291" i="3"/>
  <c r="D233" i="3"/>
  <c r="D222" i="3"/>
  <c r="D214" i="3"/>
  <c r="D206" i="3"/>
  <c r="D311" i="3"/>
  <c r="D212" i="3"/>
  <c r="D151" i="3"/>
  <c r="D146" i="3"/>
  <c r="D131" i="3"/>
  <c r="D220" i="3"/>
  <c r="D191" i="3"/>
  <c r="D187" i="3"/>
  <c r="D183" i="3"/>
  <c r="D179" i="3"/>
  <c r="D175" i="3"/>
  <c r="D349" i="3"/>
  <c r="D169" i="3"/>
  <c r="D150" i="3"/>
  <c r="D132" i="3"/>
  <c r="D277" i="3"/>
  <c r="D251" i="3"/>
  <c r="D241" i="3"/>
  <c r="D198" i="3"/>
  <c r="D149" i="3"/>
  <c r="D207" i="3"/>
  <c r="D205" i="3"/>
  <c r="D215" i="3"/>
  <c r="D213" i="3"/>
  <c r="D201" i="3"/>
  <c r="D223" i="3"/>
  <c r="D221" i="3"/>
  <c r="D171" i="3"/>
  <c r="D163" i="3"/>
  <c r="D189" i="3"/>
  <c r="D185" i="3"/>
  <c r="D181" i="3"/>
  <c r="D177" i="3"/>
  <c r="D165" i="3"/>
  <c r="D164" i="3"/>
  <c r="D161" i="3"/>
  <c r="D148" i="3"/>
  <c r="D143" i="3"/>
  <c r="D139" i="3"/>
  <c r="D134" i="3"/>
  <c r="D125" i="3"/>
  <c r="D109" i="3"/>
  <c r="D93" i="3"/>
  <c r="D77" i="3"/>
  <c r="D61" i="3"/>
  <c r="D157" i="3"/>
  <c r="D135" i="3"/>
  <c r="D120" i="3"/>
  <c r="D104" i="3"/>
  <c r="D88" i="3"/>
  <c r="D72" i="3"/>
  <c r="D216" i="3"/>
  <c r="D162" i="3"/>
  <c r="D115" i="3"/>
  <c r="D99" i="3"/>
  <c r="D83" i="3"/>
  <c r="D152" i="3"/>
  <c r="D126" i="3"/>
  <c r="D110" i="3"/>
  <c r="D269" i="3"/>
  <c r="D159" i="3"/>
  <c r="D121" i="3"/>
  <c r="D105" i="3"/>
  <c r="D89" i="3"/>
  <c r="D73" i="3"/>
  <c r="D130" i="3"/>
  <c r="D116" i="3"/>
  <c r="D100" i="3"/>
  <c r="D333" i="3"/>
  <c r="D208" i="3"/>
  <c r="D173" i="3"/>
  <c r="D156" i="3"/>
  <c r="D128" i="3"/>
  <c r="D112" i="3"/>
  <c r="D204" i="3"/>
  <c r="D133" i="3"/>
  <c r="D118" i="3"/>
  <c r="D117" i="3"/>
  <c r="D81" i="3"/>
  <c r="D78" i="3"/>
  <c r="D49" i="3"/>
  <c r="D33" i="3"/>
  <c r="D119" i="3"/>
  <c r="D111" i="3"/>
  <c r="D96" i="3"/>
  <c r="D70" i="3"/>
  <c r="D60" i="3"/>
  <c r="D44" i="3"/>
  <c r="D28" i="3"/>
  <c r="D137" i="3"/>
  <c r="D113" i="3"/>
  <c r="D92" i="3"/>
  <c r="D75" i="3"/>
  <c r="D67" i="3"/>
  <c r="D55" i="3"/>
  <c r="D160" i="3"/>
  <c r="D147" i="3"/>
  <c r="D144" i="3"/>
  <c r="D142" i="3"/>
  <c r="D114" i="3"/>
  <c r="D107" i="3"/>
  <c r="D106" i="3"/>
  <c r="D86" i="3"/>
  <c r="D50" i="3"/>
  <c r="D34" i="3"/>
  <c r="D194" i="3"/>
  <c r="D155" i="3"/>
  <c r="D108" i="3"/>
  <c r="D95" i="3"/>
  <c r="D64" i="3"/>
  <c r="D45" i="3"/>
  <c r="D29" i="3"/>
  <c r="D193" i="3"/>
  <c r="D141" i="3"/>
  <c r="D74" i="3"/>
  <c r="D68" i="3"/>
  <c r="D46" i="3"/>
  <c r="D30" i="3"/>
  <c r="D167" i="3"/>
  <c r="D63" i="3"/>
  <c r="D54" i="3"/>
  <c r="D35" i="3"/>
  <c r="D31" i="3"/>
  <c r="D275" i="3"/>
  <c r="D123" i="3"/>
  <c r="D87" i="3"/>
  <c r="D53" i="3"/>
  <c r="D47" i="3"/>
  <c r="D39" i="3"/>
  <c r="D23" i="3"/>
  <c r="D10" i="3"/>
  <c r="D158" i="3"/>
  <c r="D98" i="3"/>
  <c r="D94" i="3"/>
  <c r="D52" i="3"/>
  <c r="D43" i="3"/>
  <c r="D18" i="3"/>
  <c r="D138" i="3"/>
  <c r="D224" i="3"/>
  <c r="D145" i="3"/>
  <c r="D82" i="3"/>
  <c r="D51" i="3"/>
  <c r="D24" i="3"/>
  <c r="D127" i="3"/>
  <c r="D57" i="3"/>
  <c r="D25" i="3"/>
  <c r="D13" i="3"/>
  <c r="D9" i="3"/>
  <c r="D12" i="3"/>
  <c r="B20" i="3"/>
  <c r="K20" i="3" s="1"/>
  <c r="H21" i="3"/>
  <c r="B34" i="3"/>
  <c r="B58" i="3"/>
  <c r="N58" i="3" s="1"/>
  <c r="B64" i="3"/>
  <c r="K85" i="3"/>
  <c r="H85" i="3"/>
  <c r="N85" i="3"/>
  <c r="G169" i="3"/>
  <c r="H106" i="3"/>
  <c r="D2" i="3"/>
  <c r="BB4" i="3"/>
  <c r="K4" i="1" s="1"/>
  <c r="D16" i="3"/>
  <c r="B21" i="3"/>
  <c r="K21" i="3" s="1"/>
  <c r="D38" i="3"/>
  <c r="H51" i="3"/>
  <c r="D58" i="3"/>
  <c r="D97" i="3"/>
  <c r="D153" i="3"/>
  <c r="B418" i="3"/>
  <c r="B416" i="3"/>
  <c r="B414" i="3"/>
  <c r="B412" i="3"/>
  <c r="B410" i="3"/>
  <c r="B408" i="3"/>
  <c r="B406" i="3"/>
  <c r="B404" i="3"/>
  <c r="B402" i="3"/>
  <c r="B400" i="3"/>
  <c r="B398" i="3"/>
  <c r="B396" i="3"/>
  <c r="B394" i="3"/>
  <c r="B392" i="3"/>
  <c r="B390" i="3"/>
  <c r="B388" i="3"/>
  <c r="B386" i="3"/>
  <c r="B384" i="3"/>
  <c r="B382" i="3"/>
  <c r="B380" i="3"/>
  <c r="B378" i="3"/>
  <c r="B376" i="3"/>
  <c r="B374" i="3"/>
  <c r="B419" i="3"/>
  <c r="B368" i="3"/>
  <c r="B370" i="3"/>
  <c r="B365" i="3"/>
  <c r="B383" i="3"/>
  <c r="B359" i="3"/>
  <c r="B353" i="3"/>
  <c r="B413" i="3"/>
  <c r="B397" i="3"/>
  <c r="B379" i="3"/>
  <c r="B358" i="3"/>
  <c r="B401" i="3"/>
  <c r="B375" i="3"/>
  <c r="B389" i="3"/>
  <c r="B367" i="3"/>
  <c r="B350" i="3"/>
  <c r="B393" i="3"/>
  <c r="B366" i="3"/>
  <c r="B362" i="3"/>
  <c r="B336" i="3"/>
  <c r="B332" i="3"/>
  <c r="B399" i="3"/>
  <c r="B335" i="3"/>
  <c r="B385" i="3"/>
  <c r="B364" i="3"/>
  <c r="B361" i="3"/>
  <c r="B334" i="3"/>
  <c r="B327" i="3"/>
  <c r="B325" i="3"/>
  <c r="B323" i="3"/>
  <c r="B321" i="3"/>
  <c r="B319" i="3"/>
  <c r="B329" i="3"/>
  <c r="B415" i="3"/>
  <c r="B352" i="3"/>
  <c r="B381" i="3"/>
  <c r="B373" i="3"/>
  <c r="B357" i="3"/>
  <c r="B338" i="3"/>
  <c r="B313" i="3"/>
  <c r="B344" i="3"/>
  <c r="B341" i="3"/>
  <c r="B377" i="3"/>
  <c r="B347" i="3"/>
  <c r="B328" i="3"/>
  <c r="B355" i="3"/>
  <c r="B326" i="3"/>
  <c r="B315" i="3"/>
  <c r="B395" i="3"/>
  <c r="B331" i="3"/>
  <c r="B330" i="3"/>
  <c r="B324" i="3"/>
  <c r="B391" i="3"/>
  <c r="B387" i="3"/>
  <c r="B369" i="3"/>
  <c r="B322" i="3"/>
  <c r="B349" i="3"/>
  <c r="B346" i="3"/>
  <c r="B320" i="3"/>
  <c r="B284" i="3"/>
  <c r="B281" i="3"/>
  <c r="B348" i="3"/>
  <c r="B343" i="3"/>
  <c r="B314" i="3"/>
  <c r="B295" i="3"/>
  <c r="B294" i="3"/>
  <c r="B290" i="3"/>
  <c r="B411" i="3"/>
  <c r="B371" i="3"/>
  <c r="B351" i="3"/>
  <c r="B340" i="3"/>
  <c r="B318" i="3"/>
  <c r="B403" i="3"/>
  <c r="B342" i="3"/>
  <c r="B337" i="3"/>
  <c r="B306" i="3"/>
  <c r="B417" i="3"/>
  <c r="B310" i="3"/>
  <c r="B304" i="3"/>
  <c r="B293" i="3"/>
  <c r="B286" i="3"/>
  <c r="B283" i="3"/>
  <c r="B372" i="3"/>
  <c r="B345" i="3"/>
  <c r="B301" i="3"/>
  <c r="B278" i="3"/>
  <c r="B255" i="3"/>
  <c r="B250" i="3"/>
  <c r="B407" i="3"/>
  <c r="B296" i="3"/>
  <c r="B363" i="3"/>
  <c r="B316" i="3"/>
  <c r="B405" i="3"/>
  <c r="B339" i="3"/>
  <c r="B299" i="3"/>
  <c r="B285" i="3"/>
  <c r="B280" i="3"/>
  <c r="B257" i="3"/>
  <c r="B252" i="3"/>
  <c r="B302" i="3"/>
  <c r="B308" i="3"/>
  <c r="B272" i="3"/>
  <c r="B251" i="3"/>
  <c r="B269" i="3"/>
  <c r="B268" i="3"/>
  <c r="B249" i="3"/>
  <c r="B317" i="3"/>
  <c r="B292" i="3"/>
  <c r="B287" i="3"/>
  <c r="B279" i="3"/>
  <c r="B267" i="3"/>
  <c r="B266" i="3"/>
  <c r="B303" i="3"/>
  <c r="B282" i="3"/>
  <c r="B264" i="3"/>
  <c r="B248" i="3"/>
  <c r="B247" i="3"/>
  <c r="B305" i="3"/>
  <c r="B276" i="3"/>
  <c r="B242" i="3"/>
  <c r="B240" i="3"/>
  <c r="B238" i="3"/>
  <c r="B236" i="3"/>
  <c r="B234" i="3"/>
  <c r="B232" i="3"/>
  <c r="B230" i="3"/>
  <c r="B228" i="3"/>
  <c r="B226" i="3"/>
  <c r="B224" i="3"/>
  <c r="B222" i="3"/>
  <c r="B220" i="3"/>
  <c r="B218" i="3"/>
  <c r="B216" i="3"/>
  <c r="B214" i="3"/>
  <c r="B212" i="3"/>
  <c r="B210" i="3"/>
  <c r="B208" i="3"/>
  <c r="B206" i="3"/>
  <c r="B204" i="3"/>
  <c r="B307" i="3"/>
  <c r="B300" i="3"/>
  <c r="B298" i="3"/>
  <c r="B273" i="3"/>
  <c r="B265" i="3"/>
  <c r="B309" i="3"/>
  <c r="B288" i="3"/>
  <c r="B277" i="3"/>
  <c r="B260" i="3"/>
  <c r="B271" i="3"/>
  <c r="B245" i="3"/>
  <c r="B241" i="3"/>
  <c r="B235" i="3"/>
  <c r="B200" i="3"/>
  <c r="B195" i="3"/>
  <c r="B297" i="3"/>
  <c r="B229" i="3"/>
  <c r="B227" i="3"/>
  <c r="B219" i="3"/>
  <c r="B211" i="3"/>
  <c r="B203" i="3"/>
  <c r="B356" i="3"/>
  <c r="B263" i="3"/>
  <c r="B258" i="3"/>
  <c r="B409" i="3"/>
  <c r="B354" i="3"/>
  <c r="B270" i="3"/>
  <c r="B202" i="3"/>
  <c r="B197" i="3"/>
  <c r="B190" i="3"/>
  <c r="B188" i="3"/>
  <c r="B186" i="3"/>
  <c r="B184" i="3"/>
  <c r="B182" i="3"/>
  <c r="B180" i="3"/>
  <c r="B178" i="3"/>
  <c r="B176" i="3"/>
  <c r="B174" i="3"/>
  <c r="B172" i="3"/>
  <c r="B170" i="3"/>
  <c r="B168" i="3"/>
  <c r="B166" i="3"/>
  <c r="B164" i="3"/>
  <c r="B162" i="3"/>
  <c r="B160" i="3"/>
  <c r="B158" i="3"/>
  <c r="B156" i="3"/>
  <c r="B154" i="3"/>
  <c r="B253" i="3"/>
  <c r="B243" i="3"/>
  <c r="B192" i="3"/>
  <c r="B259" i="3"/>
  <c r="B254" i="3"/>
  <c r="B223" i="3"/>
  <c r="B215" i="3"/>
  <c r="B207" i="3"/>
  <c r="B201" i="3"/>
  <c r="B256" i="3"/>
  <c r="B239" i="3"/>
  <c r="B194" i="3"/>
  <c r="B167" i="3"/>
  <c r="B152" i="3"/>
  <c r="B144" i="3"/>
  <c r="B142" i="3"/>
  <c r="B140" i="3"/>
  <c r="B138" i="3"/>
  <c r="B136" i="3"/>
  <c r="B134" i="3"/>
  <c r="B146" i="3"/>
  <c r="B311" i="3"/>
  <c r="B151" i="3"/>
  <c r="B131" i="3"/>
  <c r="B191" i="3"/>
  <c r="B187" i="3"/>
  <c r="B183" i="3"/>
  <c r="B179" i="3"/>
  <c r="B291" i="3"/>
  <c r="B244" i="3"/>
  <c r="B233" i="3"/>
  <c r="B175" i="3"/>
  <c r="B150" i="3"/>
  <c r="B169" i="3"/>
  <c r="B209" i="3"/>
  <c r="B217" i="3"/>
  <c r="B198" i="3"/>
  <c r="B149" i="3"/>
  <c r="B289" i="3"/>
  <c r="B262" i="3"/>
  <c r="B225" i="3"/>
  <c r="B205" i="3"/>
  <c r="B145" i="3"/>
  <c r="B213" i="3"/>
  <c r="B274" i="3"/>
  <c r="B196" i="3"/>
  <c r="B155" i="3"/>
  <c r="B119" i="3"/>
  <c r="B103" i="3"/>
  <c r="B87" i="3"/>
  <c r="B71" i="3"/>
  <c r="B185" i="3"/>
  <c r="B165" i="3"/>
  <c r="B143" i="3"/>
  <c r="B139" i="3"/>
  <c r="B114" i="3"/>
  <c r="B98" i="3"/>
  <c r="B82" i="3"/>
  <c r="B221" i="3"/>
  <c r="B171" i="3"/>
  <c r="B135" i="3"/>
  <c r="B125" i="3"/>
  <c r="B109" i="3"/>
  <c r="B93" i="3"/>
  <c r="B77" i="3"/>
  <c r="B312" i="3"/>
  <c r="B181" i="3"/>
  <c r="B157" i="3"/>
  <c r="B120" i="3"/>
  <c r="B104" i="3"/>
  <c r="B115" i="3"/>
  <c r="B99" i="3"/>
  <c r="B83" i="3"/>
  <c r="Q83" i="3" s="1"/>
  <c r="B199" i="3"/>
  <c r="K199" i="3" s="1"/>
  <c r="B177" i="3"/>
  <c r="K177" i="3" s="1"/>
  <c r="B126" i="3"/>
  <c r="B110" i="3"/>
  <c r="B94" i="3"/>
  <c r="B237" i="3"/>
  <c r="B231" i="3"/>
  <c r="B161" i="3"/>
  <c r="N161" i="3" s="1"/>
  <c r="B141" i="3"/>
  <c r="B137" i="3"/>
  <c r="B122" i="3"/>
  <c r="B106" i="3"/>
  <c r="K106" i="3" s="1"/>
  <c r="B246" i="3"/>
  <c r="B148" i="3"/>
  <c r="B130" i="3"/>
  <c r="B129" i="3"/>
  <c r="B123" i="3"/>
  <c r="B97" i="3"/>
  <c r="B59" i="3"/>
  <c r="B43" i="3"/>
  <c r="B133" i="3"/>
  <c r="B124" i="3"/>
  <c r="B117" i="3"/>
  <c r="B116" i="3"/>
  <c r="B78" i="3"/>
  <c r="B63" i="3"/>
  <c r="B54" i="3"/>
  <c r="B38" i="3"/>
  <c r="B189" i="3"/>
  <c r="B118" i="3"/>
  <c r="B89" i="3"/>
  <c r="B81" i="3"/>
  <c r="B112" i="3"/>
  <c r="B111" i="3"/>
  <c r="B96" i="3"/>
  <c r="B70" i="3"/>
  <c r="B60" i="3"/>
  <c r="B44" i="3"/>
  <c r="B360" i="3"/>
  <c r="B159" i="3"/>
  <c r="N159" i="3" s="1"/>
  <c r="B147" i="3"/>
  <c r="K147" i="3" s="1"/>
  <c r="B113" i="3"/>
  <c r="B105" i="3"/>
  <c r="B92" i="3"/>
  <c r="B75" i="3"/>
  <c r="B72" i="3"/>
  <c r="B67" i="3"/>
  <c r="K67" i="3" s="1"/>
  <c r="B55" i="3"/>
  <c r="B39" i="3"/>
  <c r="B333" i="3"/>
  <c r="B163" i="3"/>
  <c r="B102" i="3"/>
  <c r="B80" i="3"/>
  <c r="K80" i="3" s="1"/>
  <c r="B61" i="3"/>
  <c r="B56" i="3"/>
  <c r="B40" i="3"/>
  <c r="Q40" i="3" s="1"/>
  <c r="B101" i="3"/>
  <c r="B74" i="3"/>
  <c r="B48" i="3"/>
  <c r="B22" i="3"/>
  <c r="B88" i="3"/>
  <c r="B62" i="3"/>
  <c r="B35" i="3"/>
  <c r="B17" i="3"/>
  <c r="B9" i="3"/>
  <c r="B31" i="3"/>
  <c r="B28" i="3"/>
  <c r="B275" i="3"/>
  <c r="B107" i="3"/>
  <c r="B53" i="3"/>
  <c r="B47" i="3"/>
  <c r="B23" i="3"/>
  <c r="B52" i="3"/>
  <c r="Q52" i="3" s="1"/>
  <c r="B18" i="3"/>
  <c r="B2" i="3"/>
  <c r="B50" i="3"/>
  <c r="B42" i="3"/>
  <c r="B19" i="3"/>
  <c r="K19" i="3" s="1"/>
  <c r="B12" i="3"/>
  <c r="K12" i="3" s="1"/>
  <c r="D20" i="3"/>
  <c r="B33" i="3"/>
  <c r="H42" i="3"/>
  <c r="B51" i="3"/>
  <c r="H83" i="3"/>
  <c r="D124" i="3"/>
  <c r="D129" i="3"/>
  <c r="H20" i="3"/>
  <c r="H34" i="3"/>
  <c r="BB2" i="3"/>
  <c r="K2" i="1" s="1"/>
  <c r="B5" i="3"/>
  <c r="T5" i="3" s="1"/>
  <c r="B7" i="3"/>
  <c r="B13" i="3"/>
  <c r="D21" i="3"/>
  <c r="B32" i="3"/>
  <c r="B37" i="3"/>
  <c r="D85" i="3"/>
  <c r="Q85" i="3" s="1"/>
  <c r="H3" i="3"/>
  <c r="I3" i="3" s="1"/>
  <c r="J3" i="3" s="1"/>
  <c r="D22" i="3"/>
  <c r="D42" i="3"/>
  <c r="B66" i="3"/>
  <c r="B76" i="3"/>
  <c r="H91" i="3"/>
  <c r="D154" i="3"/>
  <c r="H58" i="3"/>
  <c r="B3" i="3"/>
  <c r="D5" i="3"/>
  <c r="D7" i="3"/>
  <c r="B10" i="3"/>
  <c r="D17" i="3"/>
  <c r="D32" i="3"/>
  <c r="T36" i="3"/>
  <c r="D37" i="3"/>
  <c r="H41" i="3"/>
  <c r="B46" i="3"/>
  <c r="B57" i="3"/>
  <c r="D66" i="3"/>
  <c r="B69" i="3"/>
  <c r="K69" i="3" s="1"/>
  <c r="D76" i="3"/>
  <c r="H80" i="3"/>
  <c r="B91" i="3"/>
  <c r="Q91" i="3" s="1"/>
  <c r="B95" i="3"/>
  <c r="D122" i="3"/>
  <c r="B127" i="3"/>
  <c r="H199" i="3"/>
  <c r="A419" i="3"/>
  <c r="A417" i="3"/>
  <c r="A415" i="3"/>
  <c r="A413" i="3"/>
  <c r="A411" i="3"/>
  <c r="A409" i="3"/>
  <c r="A407" i="3"/>
  <c r="A405" i="3"/>
  <c r="A403" i="3"/>
  <c r="A401" i="3"/>
  <c r="A399" i="3"/>
  <c r="A397" i="3"/>
  <c r="A395" i="3"/>
  <c r="A393" i="3"/>
  <c r="A391" i="3"/>
  <c r="A389" i="3"/>
  <c r="A387" i="3"/>
  <c r="A385" i="3"/>
  <c r="A383" i="3"/>
  <c r="A381" i="3"/>
  <c r="A379" i="3"/>
  <c r="A377" i="3"/>
  <c r="A375" i="3"/>
  <c r="A373" i="3"/>
  <c r="A371" i="3"/>
  <c r="A369" i="3"/>
  <c r="A367" i="3"/>
  <c r="A365" i="3"/>
  <c r="A406" i="3"/>
  <c r="A398" i="3"/>
  <c r="A390" i="3"/>
  <c r="A382" i="3"/>
  <c r="A374" i="3"/>
  <c r="A363" i="3"/>
  <c r="A361" i="3"/>
  <c r="A359" i="3"/>
  <c r="A370" i="3"/>
  <c r="A388" i="3"/>
  <c r="A418" i="3"/>
  <c r="A410" i="3"/>
  <c r="A392" i="3"/>
  <c r="A353" i="3"/>
  <c r="A358" i="3"/>
  <c r="A416" i="3"/>
  <c r="A380" i="3"/>
  <c r="A402" i="3"/>
  <c r="A384" i="3"/>
  <c r="A355" i="3"/>
  <c r="A348" i="3"/>
  <c r="A346" i="3"/>
  <c r="A344" i="3"/>
  <c r="A342" i="3"/>
  <c r="A340" i="3"/>
  <c r="A338" i="3"/>
  <c r="A336" i="3"/>
  <c r="A350" i="3"/>
  <c r="A368" i="3"/>
  <c r="A337" i="3"/>
  <c r="A376" i="3"/>
  <c r="A366" i="3"/>
  <c r="A332" i="3"/>
  <c r="A408" i="3"/>
  <c r="A394" i="3"/>
  <c r="A335" i="3"/>
  <c r="A378" i="3"/>
  <c r="A364" i="3"/>
  <c r="A334" i="3"/>
  <c r="A327" i="3"/>
  <c r="A325" i="3"/>
  <c r="A323" i="3"/>
  <c r="A321" i="3"/>
  <c r="A319" i="3"/>
  <c r="A317" i="3"/>
  <c r="A315" i="3"/>
  <c r="A313" i="3"/>
  <c r="A400" i="3"/>
  <c r="A362" i="3"/>
  <c r="A360" i="3"/>
  <c r="A311" i="3"/>
  <c r="A309" i="3"/>
  <c r="A307" i="3"/>
  <c r="A305" i="3"/>
  <c r="A303" i="3"/>
  <c r="A301" i="3"/>
  <c r="A299" i="3"/>
  <c r="A297" i="3"/>
  <c r="A295" i="3"/>
  <c r="A293" i="3"/>
  <c r="A291" i="3"/>
  <c r="A289" i="3"/>
  <c r="A287" i="3"/>
  <c r="A285" i="3"/>
  <c r="A283" i="3"/>
  <c r="A281" i="3"/>
  <c r="A279" i="3"/>
  <c r="A352" i="3"/>
  <c r="A357" i="3"/>
  <c r="A329" i="3"/>
  <c r="A414" i="3"/>
  <c r="A341" i="3"/>
  <c r="A347" i="3"/>
  <c r="A328" i="3"/>
  <c r="A326" i="3"/>
  <c r="A331" i="3"/>
  <c r="A330" i="3"/>
  <c r="A324" i="3"/>
  <c r="A372" i="3"/>
  <c r="A333" i="3"/>
  <c r="A296" i="3"/>
  <c r="A349" i="3"/>
  <c r="A320" i="3"/>
  <c r="A284" i="3"/>
  <c r="A404" i="3"/>
  <c r="A343" i="3"/>
  <c r="A314" i="3"/>
  <c r="A294" i="3"/>
  <c r="A290" i="3"/>
  <c r="A278" i="3"/>
  <c r="A276" i="3"/>
  <c r="A274" i="3"/>
  <c r="A272" i="3"/>
  <c r="A270" i="3"/>
  <c r="A354" i="3"/>
  <c r="A345" i="3"/>
  <c r="A308" i="3"/>
  <c r="A280" i="3"/>
  <c r="A396" i="3"/>
  <c r="A306" i="3"/>
  <c r="A356" i="3"/>
  <c r="A277" i="3"/>
  <c r="A265" i="3"/>
  <c r="A260" i="3"/>
  <c r="A255" i="3"/>
  <c r="A250" i="3"/>
  <c r="A322" i="3"/>
  <c r="A316" i="3"/>
  <c r="A267" i="3"/>
  <c r="A262" i="3"/>
  <c r="A339" i="3"/>
  <c r="A286" i="3"/>
  <c r="A257" i="3"/>
  <c r="A252" i="3"/>
  <c r="A275" i="3"/>
  <c r="A253" i="3"/>
  <c r="A251" i="3"/>
  <c r="A269" i="3"/>
  <c r="A268" i="3"/>
  <c r="A249" i="3"/>
  <c r="A292" i="3"/>
  <c r="A266" i="3"/>
  <c r="A310" i="3"/>
  <c r="A282" i="3"/>
  <c r="A264" i="3"/>
  <c r="A248" i="3"/>
  <c r="A247" i="3"/>
  <c r="A242" i="3"/>
  <c r="A240" i="3"/>
  <c r="A238" i="3"/>
  <c r="A236" i="3"/>
  <c r="A234" i="3"/>
  <c r="A232" i="3"/>
  <c r="A230" i="3"/>
  <c r="A228" i="3"/>
  <c r="A226" i="3"/>
  <c r="A224" i="3"/>
  <c r="A222" i="3"/>
  <c r="A220" i="3"/>
  <c r="A218" i="3"/>
  <c r="A216" i="3"/>
  <c r="A214" i="3"/>
  <c r="A212" i="3"/>
  <c r="A210" i="3"/>
  <c r="A208" i="3"/>
  <c r="A206" i="3"/>
  <c r="A204" i="3"/>
  <c r="A202" i="3"/>
  <c r="A200" i="3"/>
  <c r="A198" i="3"/>
  <c r="A196" i="3"/>
  <c r="A194" i="3"/>
  <c r="A192" i="3"/>
  <c r="A259" i="3"/>
  <c r="A221" i="3"/>
  <c r="A213" i="3"/>
  <c r="A205" i="3"/>
  <c r="A193" i="3"/>
  <c r="A271" i="3"/>
  <c r="A245" i="3"/>
  <c r="A241" i="3"/>
  <c r="A412" i="3"/>
  <c r="A386" i="3"/>
  <c r="A300" i="3"/>
  <c r="A273" i="3"/>
  <c r="A235" i="3"/>
  <c r="A195" i="3"/>
  <c r="A304" i="3"/>
  <c r="A229" i="3"/>
  <c r="A227" i="3"/>
  <c r="A219" i="3"/>
  <c r="A211" i="3"/>
  <c r="A203" i="3"/>
  <c r="A263" i="3"/>
  <c r="A258" i="3"/>
  <c r="A197" i="3"/>
  <c r="A190" i="3"/>
  <c r="A188" i="3"/>
  <c r="A186" i="3"/>
  <c r="A184" i="3"/>
  <c r="A182" i="3"/>
  <c r="A180" i="3"/>
  <c r="A178" i="3"/>
  <c r="A176" i="3"/>
  <c r="A174" i="3"/>
  <c r="A172" i="3"/>
  <c r="A170" i="3"/>
  <c r="A168" i="3"/>
  <c r="A166" i="3"/>
  <c r="A164" i="3"/>
  <c r="A162" i="3"/>
  <c r="A160" i="3"/>
  <c r="A158" i="3"/>
  <c r="A156" i="3"/>
  <c r="A154" i="3"/>
  <c r="A152" i="3"/>
  <c r="A150" i="3"/>
  <c r="A148" i="3"/>
  <c r="A146" i="3"/>
  <c r="A312" i="3"/>
  <c r="A302" i="3"/>
  <c r="A254" i="3"/>
  <c r="A231" i="3"/>
  <c r="A173" i="3"/>
  <c r="A153" i="3"/>
  <c r="A130" i="3"/>
  <c r="A351" i="3"/>
  <c r="A256" i="3"/>
  <c r="A239" i="3"/>
  <c r="A167" i="3"/>
  <c r="A144" i="3"/>
  <c r="A142" i="3"/>
  <c r="A140" i="3"/>
  <c r="A138" i="3"/>
  <c r="A136" i="3"/>
  <c r="A134" i="3"/>
  <c r="A151" i="3"/>
  <c r="A131" i="3"/>
  <c r="A191" i="3"/>
  <c r="A187" i="3"/>
  <c r="A183" i="3"/>
  <c r="A179" i="3"/>
  <c r="A298" i="3"/>
  <c r="A244" i="3"/>
  <c r="A233" i="3"/>
  <c r="A175" i="3"/>
  <c r="A169" i="3"/>
  <c r="A209" i="3"/>
  <c r="A207" i="3"/>
  <c r="A318" i="3"/>
  <c r="A243" i="3"/>
  <c r="A217" i="3"/>
  <c r="A215" i="3"/>
  <c r="A201" i="3"/>
  <c r="A149" i="3"/>
  <c r="A225" i="3"/>
  <c r="A223" i="3"/>
  <c r="A145" i="3"/>
  <c r="A143" i="3"/>
  <c r="A141" i="3"/>
  <c r="A139" i="3"/>
  <c r="A137" i="3"/>
  <c r="A135" i="3"/>
  <c r="A133" i="3"/>
  <c r="A288" i="3"/>
  <c r="A261" i="3"/>
  <c r="A189" i="3"/>
  <c r="A129" i="3"/>
  <c r="A124" i="3"/>
  <c r="A108" i="3"/>
  <c r="A92" i="3"/>
  <c r="A76" i="3"/>
  <c r="A155" i="3"/>
  <c r="A119" i="3"/>
  <c r="A103" i="3"/>
  <c r="A87" i="3"/>
  <c r="A71" i="3"/>
  <c r="A185" i="3"/>
  <c r="A165" i="3"/>
  <c r="A114" i="3"/>
  <c r="A98" i="3"/>
  <c r="A82" i="3"/>
  <c r="A171" i="3"/>
  <c r="A125" i="3"/>
  <c r="A109" i="3"/>
  <c r="A181" i="3"/>
  <c r="A157" i="3"/>
  <c r="A120" i="3"/>
  <c r="A104" i="3"/>
  <c r="A88" i="3"/>
  <c r="A72" i="3"/>
  <c r="A115" i="3"/>
  <c r="A99" i="3"/>
  <c r="A127" i="3"/>
  <c r="A111" i="3"/>
  <c r="A122" i="3"/>
  <c r="A121" i="3"/>
  <c r="A84" i="3"/>
  <c r="A66" i="3"/>
  <c r="A48" i="3"/>
  <c r="A32" i="3"/>
  <c r="A246" i="3"/>
  <c r="A123" i="3"/>
  <c r="A97" i="3"/>
  <c r="A59" i="3"/>
  <c r="A43" i="3"/>
  <c r="A117" i="3"/>
  <c r="A116" i="3"/>
  <c r="A78" i="3"/>
  <c r="A63" i="3"/>
  <c r="A54" i="3"/>
  <c r="A118" i="3"/>
  <c r="A110" i="3"/>
  <c r="A89" i="3"/>
  <c r="A81" i="3"/>
  <c r="A49" i="3"/>
  <c r="A33" i="3"/>
  <c r="A112" i="3"/>
  <c r="A96" i="3"/>
  <c r="A70" i="3"/>
  <c r="A60" i="3"/>
  <c r="A44" i="3"/>
  <c r="A101" i="3"/>
  <c r="A100" i="3"/>
  <c r="A95" i="3"/>
  <c r="A64" i="3"/>
  <c r="A45" i="3"/>
  <c r="A29" i="3"/>
  <c r="E3" i="3"/>
  <c r="F4" i="3"/>
  <c r="BA10" i="3"/>
  <c r="G403" i="3" s="1"/>
  <c r="F14" i="3"/>
  <c r="E20" i="3"/>
  <c r="A24" i="3"/>
  <c r="A30" i="3"/>
  <c r="F37" i="3"/>
  <c r="A38" i="3"/>
  <c r="F41" i="3"/>
  <c r="A46" i="3"/>
  <c r="F68" i="3"/>
  <c r="F69" i="3"/>
  <c r="F71" i="3"/>
  <c r="A77" i="3"/>
  <c r="F84" i="3"/>
  <c r="E91" i="3"/>
  <c r="A102" i="3"/>
  <c r="A105" i="3"/>
  <c r="A113" i="3"/>
  <c r="E124" i="3"/>
  <c r="F156" i="3"/>
  <c r="A163" i="3"/>
  <c r="A237" i="3"/>
  <c r="E316" i="3"/>
  <c r="A10" i="3"/>
  <c r="E12" i="3"/>
  <c r="E19" i="3"/>
  <c r="A23" i="3"/>
  <c r="E30" i="3"/>
  <c r="E34" i="3"/>
  <c r="F38" i="3"/>
  <c r="E42" i="3"/>
  <c r="E46" i="3"/>
  <c r="A47" i="3"/>
  <c r="A53" i="3"/>
  <c r="F58" i="3"/>
  <c r="E59" i="3"/>
  <c r="F76" i="3"/>
  <c r="F90" i="3"/>
  <c r="A107" i="3"/>
  <c r="E118" i="3"/>
  <c r="E129" i="3"/>
  <c r="F173" i="3"/>
  <c r="E193" i="3"/>
  <c r="E24" i="3"/>
  <c r="A28" i="3"/>
  <c r="F30" i="3"/>
  <c r="A31" i="3"/>
  <c r="F42" i="3"/>
  <c r="F46" i="3"/>
  <c r="E51" i="3"/>
  <c r="F59" i="3"/>
  <c r="A75" i="3"/>
  <c r="E82" i="3"/>
  <c r="A94" i="3"/>
  <c r="A126" i="3"/>
  <c r="F129" i="3"/>
  <c r="F131" i="3"/>
  <c r="E134" i="3"/>
  <c r="E166" i="3"/>
  <c r="A9" i="3"/>
  <c r="E11" i="3"/>
  <c r="T11" i="3" s="1"/>
  <c r="A17" i="3"/>
  <c r="F24" i="3"/>
  <c r="A35" i="3"/>
  <c r="A39" i="3"/>
  <c r="F60" i="3"/>
  <c r="A62" i="3"/>
  <c r="E81" i="3"/>
  <c r="F82" i="3"/>
  <c r="A93" i="3"/>
  <c r="E138" i="3"/>
  <c r="F370" i="3"/>
  <c r="F404" i="3"/>
  <c r="F396" i="3"/>
  <c r="F388" i="3"/>
  <c r="F380" i="3"/>
  <c r="F372" i="3"/>
  <c r="F414" i="3"/>
  <c r="F367" i="3"/>
  <c r="F415" i="3"/>
  <c r="F413" i="3"/>
  <c r="F412" i="3"/>
  <c r="F416" i="3"/>
  <c r="F402" i="3"/>
  <c r="F397" i="3"/>
  <c r="F384" i="3"/>
  <c r="F355" i="3"/>
  <c r="F350" i="3"/>
  <c r="F406" i="3"/>
  <c r="F393" i="3"/>
  <c r="F375" i="3"/>
  <c r="F366" i="3"/>
  <c r="F411" i="3"/>
  <c r="F369" i="3"/>
  <c r="F364" i="3"/>
  <c r="F394" i="3"/>
  <c r="F389" i="3"/>
  <c r="F376" i="3"/>
  <c r="F368" i="3"/>
  <c r="F365" i="3"/>
  <c r="F357" i="3"/>
  <c r="F403" i="3"/>
  <c r="F398" i="3"/>
  <c r="F385" i="3"/>
  <c r="F371" i="3"/>
  <c r="F407" i="3"/>
  <c r="F363" i="3"/>
  <c r="F362" i="3"/>
  <c r="F419" i="3"/>
  <c r="F378" i="3"/>
  <c r="F373" i="3"/>
  <c r="F361" i="3"/>
  <c r="F360" i="3"/>
  <c r="F374" i="3"/>
  <c r="F358" i="3"/>
  <c r="F327" i="3"/>
  <c r="F325" i="3"/>
  <c r="F323" i="3"/>
  <c r="F321" i="3"/>
  <c r="F319" i="3"/>
  <c r="F317" i="3"/>
  <c r="F408" i="3"/>
  <c r="F399" i="3"/>
  <c r="F329" i="3"/>
  <c r="F392" i="3"/>
  <c r="F383" i="3"/>
  <c r="F387" i="3"/>
  <c r="F334" i="3"/>
  <c r="F410" i="3"/>
  <c r="F401" i="3"/>
  <c r="F331" i="3"/>
  <c r="F349" i="3"/>
  <c r="F381" i="3"/>
  <c r="F377" i="3"/>
  <c r="F338" i="3"/>
  <c r="F335" i="3"/>
  <c r="F326" i="3"/>
  <c r="F315" i="3"/>
  <c r="F344" i="3"/>
  <c r="F324" i="3"/>
  <c r="F395" i="3"/>
  <c r="F359" i="3"/>
  <c r="F330" i="3"/>
  <c r="F322" i="3"/>
  <c r="F339" i="3"/>
  <c r="F320" i="3"/>
  <c r="F312" i="3"/>
  <c r="F391" i="3"/>
  <c r="F345" i="3"/>
  <c r="F318" i="3"/>
  <c r="F418" i="3"/>
  <c r="F409" i="3"/>
  <c r="F353" i="3"/>
  <c r="F342" i="3"/>
  <c r="F336" i="3"/>
  <c r="F333" i="3"/>
  <c r="F314" i="3"/>
  <c r="F346" i="3"/>
  <c r="F294" i="3"/>
  <c r="F290" i="3"/>
  <c r="F354" i="3"/>
  <c r="F351" i="3"/>
  <c r="F348" i="3"/>
  <c r="F337" i="3"/>
  <c r="F280" i="3"/>
  <c r="F340" i="3"/>
  <c r="F293" i="3"/>
  <c r="F417" i="3"/>
  <c r="F308" i="3"/>
  <c r="F307" i="3"/>
  <c r="F306" i="3"/>
  <c r="F286" i="3"/>
  <c r="F356" i="3"/>
  <c r="F310" i="3"/>
  <c r="F303" i="3"/>
  <c r="F302" i="3"/>
  <c r="F292" i="3"/>
  <c r="F382" i="3"/>
  <c r="F316" i="3"/>
  <c r="F301" i="3"/>
  <c r="F300" i="3"/>
  <c r="F277" i="3"/>
  <c r="F275" i="3"/>
  <c r="F273" i="3"/>
  <c r="F271" i="3"/>
  <c r="F269" i="3"/>
  <c r="F328" i="3"/>
  <c r="F252" i="3"/>
  <c r="F304" i="3"/>
  <c r="F247" i="3"/>
  <c r="F245" i="3"/>
  <c r="F243" i="3"/>
  <c r="F405" i="3"/>
  <c r="F311" i="3"/>
  <c r="F291" i="3"/>
  <c r="F254" i="3"/>
  <c r="F249" i="3"/>
  <c r="F309" i="3"/>
  <c r="F297" i="3"/>
  <c r="F400" i="3"/>
  <c r="F284" i="3"/>
  <c r="F282" i="3"/>
  <c r="F279" i="3"/>
  <c r="F267" i="3"/>
  <c r="F248" i="3"/>
  <c r="F242" i="3"/>
  <c r="F240" i="3"/>
  <c r="F238" i="3"/>
  <c r="F236" i="3"/>
  <c r="F234" i="3"/>
  <c r="F232" i="3"/>
  <c r="F230" i="3"/>
  <c r="F228" i="3"/>
  <c r="F226" i="3"/>
  <c r="F224" i="3"/>
  <c r="F222" i="3"/>
  <c r="F220" i="3"/>
  <c r="F218" i="3"/>
  <c r="F216" i="3"/>
  <c r="F214" i="3"/>
  <c r="F212" i="3"/>
  <c r="F210" i="3"/>
  <c r="F208" i="3"/>
  <c r="F206" i="3"/>
  <c r="F204" i="3"/>
  <c r="F202" i="3"/>
  <c r="F287" i="3"/>
  <c r="F265" i="3"/>
  <c r="F379" i="3"/>
  <c r="F305" i="3"/>
  <c r="F298" i="3"/>
  <c r="F264" i="3"/>
  <c r="F263" i="3"/>
  <c r="F276" i="3"/>
  <c r="F261" i="3"/>
  <c r="F246" i="3"/>
  <c r="F352" i="3"/>
  <c r="F296" i="3"/>
  <c r="F343" i="3"/>
  <c r="F313" i="3"/>
  <c r="F285" i="3"/>
  <c r="F270" i="3"/>
  <c r="F262" i="3"/>
  <c r="F274" i="3"/>
  <c r="F257" i="3"/>
  <c r="F386" i="3"/>
  <c r="F229" i="3"/>
  <c r="F281" i="3"/>
  <c r="F250" i="3"/>
  <c r="F197" i="3"/>
  <c r="F190" i="3"/>
  <c r="F188" i="3"/>
  <c r="F186" i="3"/>
  <c r="F184" i="3"/>
  <c r="F182" i="3"/>
  <c r="F180" i="3"/>
  <c r="F178" i="3"/>
  <c r="F176" i="3"/>
  <c r="F174" i="3"/>
  <c r="F172" i="3"/>
  <c r="F170" i="3"/>
  <c r="F168" i="3"/>
  <c r="F166" i="3"/>
  <c r="F258" i="3"/>
  <c r="F253" i="3"/>
  <c r="F192" i="3"/>
  <c r="F225" i="3"/>
  <c r="F217" i="3"/>
  <c r="F209" i="3"/>
  <c r="F341" i="3"/>
  <c r="F237" i="3"/>
  <c r="F199" i="3"/>
  <c r="F278" i="3"/>
  <c r="F268" i="3"/>
  <c r="F256" i="3"/>
  <c r="F251" i="3"/>
  <c r="F231" i="3"/>
  <c r="F194" i="3"/>
  <c r="F289" i="3"/>
  <c r="F283" i="3"/>
  <c r="F295" i="3"/>
  <c r="F233" i="3"/>
  <c r="F272" i="3"/>
  <c r="F221" i="3"/>
  <c r="F213" i="3"/>
  <c r="F205" i="3"/>
  <c r="F198" i="3"/>
  <c r="F191" i="3"/>
  <c r="F187" i="3"/>
  <c r="F183" i="3"/>
  <c r="F179" i="3"/>
  <c r="F260" i="3"/>
  <c r="F200" i="3"/>
  <c r="F175" i="3"/>
  <c r="F150" i="3"/>
  <c r="F132" i="3"/>
  <c r="F169" i="3"/>
  <c r="F259" i="3"/>
  <c r="F244" i="3"/>
  <c r="F149" i="3"/>
  <c r="F347" i="3"/>
  <c r="F299" i="3"/>
  <c r="F241" i="3"/>
  <c r="F207" i="3"/>
  <c r="F195" i="3"/>
  <c r="F145" i="3"/>
  <c r="F143" i="3"/>
  <c r="F141" i="3"/>
  <c r="F139" i="3"/>
  <c r="F137" i="3"/>
  <c r="F135" i="3"/>
  <c r="F133" i="3"/>
  <c r="F215" i="3"/>
  <c r="F201" i="3"/>
  <c r="F255" i="3"/>
  <c r="F223" i="3"/>
  <c r="F203" i="3"/>
  <c r="F390" i="3"/>
  <c r="F266" i="3"/>
  <c r="F211" i="3"/>
  <c r="F196" i="3"/>
  <c r="F171" i="3"/>
  <c r="F164" i="3"/>
  <c r="F163" i="3"/>
  <c r="F148" i="3"/>
  <c r="F235" i="3"/>
  <c r="F219" i="3"/>
  <c r="F189" i="3"/>
  <c r="F185" i="3"/>
  <c r="F181" i="3"/>
  <c r="F177" i="3"/>
  <c r="F165" i="3"/>
  <c r="F162" i="3"/>
  <c r="F161" i="3"/>
  <c r="F288" i="3"/>
  <c r="F227" i="3"/>
  <c r="F193" i="3"/>
  <c r="F160" i="3"/>
  <c r="F159" i="3"/>
  <c r="F157" i="3"/>
  <c r="F115" i="3"/>
  <c r="F99" i="3"/>
  <c r="F83" i="3"/>
  <c r="F67" i="3"/>
  <c r="F152" i="3"/>
  <c r="F146" i="3"/>
  <c r="F126" i="3"/>
  <c r="F110" i="3"/>
  <c r="F94" i="3"/>
  <c r="F78" i="3"/>
  <c r="F121" i="3"/>
  <c r="F105" i="3"/>
  <c r="F89" i="3"/>
  <c r="F73" i="3"/>
  <c r="F130" i="3"/>
  <c r="F116" i="3"/>
  <c r="F100" i="3"/>
  <c r="F154" i="3"/>
  <c r="F144" i="3"/>
  <c r="F140" i="3"/>
  <c r="F136" i="3"/>
  <c r="F127" i="3"/>
  <c r="F111" i="3"/>
  <c r="F95" i="3"/>
  <c r="F79" i="3"/>
  <c r="F122" i="3"/>
  <c r="F106" i="3"/>
  <c r="F151" i="3"/>
  <c r="F118" i="3"/>
  <c r="F102" i="3"/>
  <c r="F120" i="3"/>
  <c r="F113" i="3"/>
  <c r="F112" i="3"/>
  <c r="F92" i="3"/>
  <c r="F75" i="3"/>
  <c r="F55" i="3"/>
  <c r="F39" i="3"/>
  <c r="F147" i="3"/>
  <c r="F142" i="3"/>
  <c r="F114" i="3"/>
  <c r="F86" i="3"/>
  <c r="F50" i="3"/>
  <c r="F34" i="3"/>
  <c r="F108" i="3"/>
  <c r="F107" i="3"/>
  <c r="F64" i="3"/>
  <c r="F155" i="3"/>
  <c r="F109" i="3"/>
  <c r="F101" i="3"/>
  <c r="F80" i="3"/>
  <c r="F72" i="3"/>
  <c r="F56" i="3"/>
  <c r="F40" i="3"/>
  <c r="F103" i="3"/>
  <c r="F91" i="3"/>
  <c r="F61" i="3"/>
  <c r="F51" i="3"/>
  <c r="F35" i="3"/>
  <c r="F158" i="3"/>
  <c r="F88" i="3"/>
  <c r="F65" i="3"/>
  <c r="F52" i="3"/>
  <c r="F36" i="3"/>
  <c r="F11" i="3"/>
  <c r="E18" i="3"/>
  <c r="A22" i="3"/>
  <c r="E43" i="3"/>
  <c r="E52" i="3"/>
  <c r="A61" i="3"/>
  <c r="A74" i="3"/>
  <c r="F81" i="3"/>
  <c r="E93" i="3"/>
  <c r="E98" i="3"/>
  <c r="F104" i="3"/>
  <c r="F138" i="3"/>
  <c r="E406" i="3"/>
  <c r="E398" i="3"/>
  <c r="E390" i="3"/>
  <c r="E382" i="3"/>
  <c r="E374" i="3"/>
  <c r="E370" i="3"/>
  <c r="E405" i="3"/>
  <c r="E397" i="3"/>
  <c r="E389" i="3"/>
  <c r="E381" i="3"/>
  <c r="E373" i="3"/>
  <c r="E404" i="3"/>
  <c r="E396" i="3"/>
  <c r="E388" i="3"/>
  <c r="E380" i="3"/>
  <c r="E372" i="3"/>
  <c r="E414" i="3"/>
  <c r="E367" i="3"/>
  <c r="E348" i="3"/>
  <c r="E346" i="3"/>
  <c r="E344" i="3"/>
  <c r="E342" i="3"/>
  <c r="E340" i="3"/>
  <c r="E338" i="3"/>
  <c r="E336" i="3"/>
  <c r="E334" i="3"/>
  <c r="E332" i="3"/>
  <c r="E330" i="3"/>
  <c r="E416" i="3"/>
  <c r="E402" i="3"/>
  <c r="E384" i="3"/>
  <c r="E355" i="3"/>
  <c r="E350" i="3"/>
  <c r="E393" i="3"/>
  <c r="E375" i="3"/>
  <c r="E366" i="3"/>
  <c r="E411" i="3"/>
  <c r="E369" i="3"/>
  <c r="E364" i="3"/>
  <c r="E394" i="3"/>
  <c r="E376" i="3"/>
  <c r="E368" i="3"/>
  <c r="E365" i="3"/>
  <c r="E357" i="3"/>
  <c r="E352" i="3"/>
  <c r="E403" i="3"/>
  <c r="E385" i="3"/>
  <c r="E371" i="3"/>
  <c r="E399" i="3"/>
  <c r="E335" i="3"/>
  <c r="E358" i="3"/>
  <c r="E327" i="3"/>
  <c r="E325" i="3"/>
  <c r="E323" i="3"/>
  <c r="E321" i="3"/>
  <c r="E319" i="3"/>
  <c r="E317" i="3"/>
  <c r="E408" i="3"/>
  <c r="E378" i="3"/>
  <c r="E361" i="3"/>
  <c r="E329" i="3"/>
  <c r="E419" i="3"/>
  <c r="E413" i="3"/>
  <c r="E392" i="3"/>
  <c r="E383" i="3"/>
  <c r="E387" i="3"/>
  <c r="E410" i="3"/>
  <c r="E401" i="3"/>
  <c r="E331" i="3"/>
  <c r="E347" i="3"/>
  <c r="E328" i="3"/>
  <c r="E377" i="3"/>
  <c r="E326" i="3"/>
  <c r="E315" i="3"/>
  <c r="E324" i="3"/>
  <c r="E395" i="3"/>
  <c r="E359" i="3"/>
  <c r="E322" i="3"/>
  <c r="E339" i="3"/>
  <c r="E320" i="3"/>
  <c r="E312" i="3"/>
  <c r="E310" i="3"/>
  <c r="E308" i="3"/>
  <c r="E306" i="3"/>
  <c r="E304" i="3"/>
  <c r="E302" i="3"/>
  <c r="E300" i="3"/>
  <c r="E298" i="3"/>
  <c r="E296" i="3"/>
  <c r="E294" i="3"/>
  <c r="E292" i="3"/>
  <c r="E290" i="3"/>
  <c r="E288" i="3"/>
  <c r="E286" i="3"/>
  <c r="E284" i="3"/>
  <c r="E282" i="3"/>
  <c r="E280" i="3"/>
  <c r="E391" i="3"/>
  <c r="E345" i="3"/>
  <c r="E318" i="3"/>
  <c r="E418" i="3"/>
  <c r="E379" i="3"/>
  <c r="E362" i="3"/>
  <c r="E343" i="3"/>
  <c r="E314" i="3"/>
  <c r="E313" i="3"/>
  <c r="E295" i="3"/>
  <c r="E287" i="3"/>
  <c r="E278" i="3"/>
  <c r="E276" i="3"/>
  <c r="E274" i="3"/>
  <c r="E272" i="3"/>
  <c r="E270" i="3"/>
  <c r="E268" i="3"/>
  <c r="E266" i="3"/>
  <c r="E264" i="3"/>
  <c r="E262" i="3"/>
  <c r="E260" i="3"/>
  <c r="E258" i="3"/>
  <c r="E256" i="3"/>
  <c r="E254" i="3"/>
  <c r="E252" i="3"/>
  <c r="E250" i="3"/>
  <c r="E248" i="3"/>
  <c r="E354" i="3"/>
  <c r="E351" i="3"/>
  <c r="E337" i="3"/>
  <c r="E293" i="3"/>
  <c r="E283" i="3"/>
  <c r="E309" i="3"/>
  <c r="E305" i="3"/>
  <c r="E289" i="3"/>
  <c r="E356" i="3"/>
  <c r="E353" i="3"/>
  <c r="E303" i="3"/>
  <c r="E407" i="3"/>
  <c r="E363" i="3"/>
  <c r="E341" i="3"/>
  <c r="E299" i="3"/>
  <c r="E285" i="3"/>
  <c r="E257" i="3"/>
  <c r="E417" i="3"/>
  <c r="E259" i="3"/>
  <c r="E415" i="3"/>
  <c r="E360" i="3"/>
  <c r="E349" i="3"/>
  <c r="E311" i="3"/>
  <c r="E291" i="3"/>
  <c r="E269" i="3"/>
  <c r="E249" i="3"/>
  <c r="E412" i="3"/>
  <c r="E333" i="3"/>
  <c r="E400" i="3"/>
  <c r="E279" i="3"/>
  <c r="E267" i="3"/>
  <c r="E242" i="3"/>
  <c r="E240" i="3"/>
  <c r="E238" i="3"/>
  <c r="E236" i="3"/>
  <c r="E234" i="3"/>
  <c r="E232" i="3"/>
  <c r="E230" i="3"/>
  <c r="E228" i="3"/>
  <c r="E226" i="3"/>
  <c r="E224" i="3"/>
  <c r="E222" i="3"/>
  <c r="E220" i="3"/>
  <c r="E218" i="3"/>
  <c r="E216" i="3"/>
  <c r="E214" i="3"/>
  <c r="E212" i="3"/>
  <c r="E210" i="3"/>
  <c r="E208" i="3"/>
  <c r="E206" i="3"/>
  <c r="E204" i="3"/>
  <c r="E202" i="3"/>
  <c r="E273" i="3"/>
  <c r="E265" i="3"/>
  <c r="E247" i="3"/>
  <c r="E263" i="3"/>
  <c r="E307" i="3"/>
  <c r="E261" i="3"/>
  <c r="E246" i="3"/>
  <c r="E241" i="3"/>
  <c r="E239" i="3"/>
  <c r="E237" i="3"/>
  <c r="E235" i="3"/>
  <c r="E233" i="3"/>
  <c r="E231" i="3"/>
  <c r="E229" i="3"/>
  <c r="E297" i="3"/>
  <c r="E255" i="3"/>
  <c r="E227" i="3"/>
  <c r="E219" i="3"/>
  <c r="E211" i="3"/>
  <c r="E203" i="3"/>
  <c r="E386" i="3"/>
  <c r="E301" i="3"/>
  <c r="E281" i="3"/>
  <c r="E197" i="3"/>
  <c r="E190" i="3"/>
  <c r="E188" i="3"/>
  <c r="E186" i="3"/>
  <c r="E184" i="3"/>
  <c r="E182" i="3"/>
  <c r="E180" i="3"/>
  <c r="E178" i="3"/>
  <c r="E176" i="3"/>
  <c r="E253" i="3"/>
  <c r="E192" i="3"/>
  <c r="E409" i="3"/>
  <c r="E225" i="3"/>
  <c r="E217" i="3"/>
  <c r="E209" i="3"/>
  <c r="E243" i="3"/>
  <c r="E199" i="3"/>
  <c r="E275" i="3"/>
  <c r="E251" i="3"/>
  <c r="E194" i="3"/>
  <c r="E244" i="3"/>
  <c r="E191" i="3"/>
  <c r="E189" i="3"/>
  <c r="E187" i="3"/>
  <c r="E185" i="3"/>
  <c r="E183" i="3"/>
  <c r="E181" i="3"/>
  <c r="E179" i="3"/>
  <c r="E177" i="3"/>
  <c r="E175" i="3"/>
  <c r="E173" i="3"/>
  <c r="E171" i="3"/>
  <c r="E169" i="3"/>
  <c r="E167" i="3"/>
  <c r="E165" i="3"/>
  <c r="E163" i="3"/>
  <c r="E161" i="3"/>
  <c r="E159" i="3"/>
  <c r="E157" i="3"/>
  <c r="E155" i="3"/>
  <c r="E153" i="3"/>
  <c r="E151" i="3"/>
  <c r="E245" i="3"/>
  <c r="E174" i="3"/>
  <c r="E168" i="3"/>
  <c r="E200" i="3"/>
  <c r="E150" i="3"/>
  <c r="E132" i="3"/>
  <c r="T132" i="3" s="1"/>
  <c r="E277" i="3"/>
  <c r="E198" i="3"/>
  <c r="E149" i="3"/>
  <c r="E207" i="3"/>
  <c r="E205" i="3"/>
  <c r="E195" i="3"/>
  <c r="E145" i="3"/>
  <c r="E143" i="3"/>
  <c r="E141" i="3"/>
  <c r="E139" i="3"/>
  <c r="E137" i="3"/>
  <c r="E271" i="3"/>
  <c r="E215" i="3"/>
  <c r="E213" i="3"/>
  <c r="E201" i="3"/>
  <c r="E170" i="3"/>
  <c r="E223" i="3"/>
  <c r="E221" i="3"/>
  <c r="E196" i="3"/>
  <c r="E164" i="3"/>
  <c r="E148" i="3"/>
  <c r="E162" i="3"/>
  <c r="E135" i="3"/>
  <c r="E131" i="3"/>
  <c r="E120" i="3"/>
  <c r="E104" i="3"/>
  <c r="E88" i="3"/>
  <c r="E72" i="3"/>
  <c r="E115" i="3"/>
  <c r="E99" i="3"/>
  <c r="E83" i="3"/>
  <c r="E152" i="3"/>
  <c r="E146" i="3"/>
  <c r="E126" i="3"/>
  <c r="E110" i="3"/>
  <c r="E94" i="3"/>
  <c r="E78" i="3"/>
  <c r="E121" i="3"/>
  <c r="E105" i="3"/>
  <c r="E130" i="3"/>
  <c r="E116" i="3"/>
  <c r="E100" i="3"/>
  <c r="E84" i="3"/>
  <c r="E154" i="3"/>
  <c r="E144" i="3"/>
  <c r="E140" i="3"/>
  <c r="E136" i="3"/>
  <c r="E127" i="3"/>
  <c r="E111" i="3"/>
  <c r="E95" i="3"/>
  <c r="E123" i="3"/>
  <c r="E107" i="3"/>
  <c r="E119" i="3"/>
  <c r="E96" i="3"/>
  <c r="E89" i="3"/>
  <c r="E70" i="3"/>
  <c r="E60" i="3"/>
  <c r="E44" i="3"/>
  <c r="E28" i="3"/>
  <c r="E113" i="3"/>
  <c r="E112" i="3"/>
  <c r="E92" i="3"/>
  <c r="E75" i="3"/>
  <c r="E67" i="3"/>
  <c r="E55" i="3"/>
  <c r="E39" i="3"/>
  <c r="E160" i="3"/>
  <c r="E147" i="3"/>
  <c r="E142" i="3"/>
  <c r="E114" i="3"/>
  <c r="E106" i="3"/>
  <c r="E86" i="3"/>
  <c r="E50" i="3"/>
  <c r="E108" i="3"/>
  <c r="E64" i="3"/>
  <c r="E45" i="3"/>
  <c r="E109" i="3"/>
  <c r="E102" i="3"/>
  <c r="E101" i="3"/>
  <c r="E80" i="3"/>
  <c r="E56" i="3"/>
  <c r="E40" i="3"/>
  <c r="E85" i="3"/>
  <c r="E77" i="3"/>
  <c r="E57" i="3"/>
  <c r="E41" i="3"/>
  <c r="A8" i="3"/>
  <c r="E10" i="3"/>
  <c r="A16" i="3"/>
  <c r="F18" i="3"/>
  <c r="E23" i="3"/>
  <c r="A27" i="3"/>
  <c r="F28" i="3"/>
  <c r="F43" i="3"/>
  <c r="E47" i="3"/>
  <c r="E53" i="3"/>
  <c r="A73" i="3"/>
  <c r="E87" i="3"/>
  <c r="F93" i="3"/>
  <c r="F98" i="3"/>
  <c r="F123" i="3"/>
  <c r="A128" i="3"/>
  <c r="Q79" i="3" l="1"/>
  <c r="N51" i="3"/>
  <c r="N55" i="3"/>
  <c r="N37" i="3"/>
  <c r="N11" i="3"/>
  <c r="N57" i="3"/>
  <c r="N68" i="3"/>
  <c r="N65" i="3"/>
  <c r="Q65" i="3"/>
  <c r="K4" i="3"/>
  <c r="N36" i="3"/>
  <c r="K11" i="3"/>
  <c r="Q36" i="3"/>
  <c r="T65" i="3"/>
  <c r="T3" i="3"/>
  <c r="T26" i="3"/>
  <c r="T34" i="3"/>
  <c r="T41" i="3"/>
  <c r="N50" i="3"/>
  <c r="T40" i="3"/>
  <c r="T83" i="3"/>
  <c r="N25" i="3"/>
  <c r="Q106" i="3"/>
  <c r="N132" i="3"/>
  <c r="T52" i="3"/>
  <c r="Q68" i="3"/>
  <c r="K68" i="3"/>
  <c r="Q58" i="3"/>
  <c r="K58" i="3"/>
  <c r="T68" i="3"/>
  <c r="K55" i="3"/>
  <c r="T6" i="3"/>
  <c r="Q15" i="3"/>
  <c r="Q26" i="3"/>
  <c r="Q12" i="3"/>
  <c r="Q57" i="3"/>
  <c r="K6" i="3"/>
  <c r="K26" i="3"/>
  <c r="K37" i="3"/>
  <c r="Q37" i="3"/>
  <c r="T55" i="3"/>
  <c r="Q67" i="3"/>
  <c r="Q159" i="3"/>
  <c r="N6" i="3"/>
  <c r="T7" i="3"/>
  <c r="K83" i="3"/>
  <c r="Q14" i="3"/>
  <c r="Q4" i="3"/>
  <c r="K57" i="3"/>
  <c r="N83" i="3"/>
  <c r="T14" i="3"/>
  <c r="K159" i="3"/>
  <c r="H57" i="3"/>
  <c r="N86" i="3"/>
  <c r="T50" i="3"/>
  <c r="K79" i="3"/>
  <c r="N79" i="3"/>
  <c r="K86" i="3"/>
  <c r="K50" i="3"/>
  <c r="Q69" i="3"/>
  <c r="I4" i="3"/>
  <c r="J4" i="3" s="1"/>
  <c r="G79" i="3"/>
  <c r="W79" i="3" s="1"/>
  <c r="G244" i="3"/>
  <c r="G100" i="3"/>
  <c r="G252" i="3"/>
  <c r="G176" i="3"/>
  <c r="G172" i="3"/>
  <c r="G301" i="3"/>
  <c r="W301" i="3" s="1"/>
  <c r="G174" i="3"/>
  <c r="G298" i="3"/>
  <c r="G407" i="3"/>
  <c r="G129" i="3"/>
  <c r="G371" i="3"/>
  <c r="G24" i="3"/>
  <c r="W24" i="3" s="1"/>
  <c r="G385" i="3"/>
  <c r="G60" i="3"/>
  <c r="G360" i="3"/>
  <c r="W360" i="3" s="1"/>
  <c r="G295" i="3"/>
  <c r="G316" i="3"/>
  <c r="G84" i="3"/>
  <c r="G376" i="3"/>
  <c r="G71" i="3"/>
  <c r="G126" i="3"/>
  <c r="G256" i="3"/>
  <c r="G262" i="3"/>
  <c r="G355" i="3"/>
  <c r="G378" i="3"/>
  <c r="G178" i="3"/>
  <c r="W178" i="3" s="1"/>
  <c r="G27" i="3"/>
  <c r="W27" i="3" s="1"/>
  <c r="G130" i="3"/>
  <c r="W130" i="3" s="1"/>
  <c r="G182" i="3"/>
  <c r="W182" i="3" s="1"/>
  <c r="G240" i="3"/>
  <c r="W240" i="3" s="1"/>
  <c r="G28" i="3"/>
  <c r="W28" i="3" s="1"/>
  <c r="G157" i="3"/>
  <c r="W157" i="3" s="1"/>
  <c r="G116" i="3"/>
  <c r="W116" i="3" s="1"/>
  <c r="G362" i="3"/>
  <c r="W362" i="3" s="1"/>
  <c r="G200" i="3"/>
  <c r="G379" i="3"/>
  <c r="G288" i="3"/>
  <c r="G72" i="3"/>
  <c r="W72" i="3" s="1"/>
  <c r="G391" i="3"/>
  <c r="G80" i="3"/>
  <c r="W80" i="3" s="1"/>
  <c r="G285" i="3"/>
  <c r="G294" i="3"/>
  <c r="W294" i="3" s="1"/>
  <c r="G109" i="3"/>
  <c r="W109" i="3" s="1"/>
  <c r="G232" i="3"/>
  <c r="W232" i="3" s="1"/>
  <c r="G386" i="3"/>
  <c r="W386" i="3" s="1"/>
  <c r="G155" i="3"/>
  <c r="G302" i="3"/>
  <c r="W302" i="3" s="1"/>
  <c r="G404" i="3"/>
  <c r="W404" i="3" s="1"/>
  <c r="G87" i="3"/>
  <c r="W87" i="3" s="1"/>
  <c r="G29" i="3"/>
  <c r="W29" i="3" s="1"/>
  <c r="G238" i="3"/>
  <c r="G237" i="3"/>
  <c r="G264" i="3"/>
  <c r="G350" i="3"/>
  <c r="G408" i="3"/>
  <c r="G236" i="3"/>
  <c r="G45" i="3"/>
  <c r="G267" i="3"/>
  <c r="W267" i="3" s="1"/>
  <c r="G284" i="3"/>
  <c r="G247" i="3"/>
  <c r="W247" i="3" s="1"/>
  <c r="G354" i="3"/>
  <c r="G410" i="3"/>
  <c r="W410" i="3" s="1"/>
  <c r="G270" i="3"/>
  <c r="W270" i="3" s="1"/>
  <c r="G297" i="3"/>
  <c r="W297" i="3" s="1"/>
  <c r="G159" i="3"/>
  <c r="W159" i="3" s="1"/>
  <c r="G107" i="3"/>
  <c r="W107" i="3" s="1"/>
  <c r="G135" i="3"/>
  <c r="G242" i="3"/>
  <c r="G273" i="3"/>
  <c r="W273" i="3" s="1"/>
  <c r="G363" i="3"/>
  <c r="W363" i="3" s="1"/>
  <c r="G412" i="3"/>
  <c r="G82" i="3"/>
  <c r="W82" i="3" s="1"/>
  <c r="G132" i="3"/>
  <c r="W132" i="3" s="1"/>
  <c r="G348" i="3"/>
  <c r="G134" i="3"/>
  <c r="W134" i="3" s="1"/>
  <c r="G319" i="3"/>
  <c r="W319" i="3" s="1"/>
  <c r="G39" i="3"/>
  <c r="G216" i="3"/>
  <c r="W216" i="3" s="1"/>
  <c r="G345" i="3"/>
  <c r="G147" i="3"/>
  <c r="W147" i="3" s="1"/>
  <c r="G268" i="3"/>
  <c r="W268" i="3" s="1"/>
  <c r="G380" i="3"/>
  <c r="W380" i="3" s="1"/>
  <c r="G278" i="3"/>
  <c r="G382" i="3"/>
  <c r="G199" i="3"/>
  <c r="W199" i="3" s="1"/>
  <c r="G85" i="3"/>
  <c r="W85" i="3" s="1"/>
  <c r="G259" i="3"/>
  <c r="G239" i="3"/>
  <c r="G38" i="3"/>
  <c r="G142" i="3"/>
  <c r="G228" i="3"/>
  <c r="W228" i="3" s="1"/>
  <c r="G192" i="3"/>
  <c r="W192" i="3" s="1"/>
  <c r="G275" i="3"/>
  <c r="G370" i="3"/>
  <c r="G75" i="3"/>
  <c r="W75" i="3" s="1"/>
  <c r="G183" i="3"/>
  <c r="W183" i="3" s="1"/>
  <c r="G233" i="3"/>
  <c r="W233" i="3" s="1"/>
  <c r="G170" i="3"/>
  <c r="W170" i="3" s="1"/>
  <c r="G277" i="3"/>
  <c r="G296" i="3"/>
  <c r="G357" i="3"/>
  <c r="W357" i="3" s="1"/>
  <c r="G406" i="3"/>
  <c r="W406" i="3" s="1"/>
  <c r="G257" i="3"/>
  <c r="G113" i="3"/>
  <c r="G227" i="3"/>
  <c r="G222" i="3"/>
  <c r="W222" i="3" s="1"/>
  <c r="G253" i="3"/>
  <c r="W253" i="3" s="1"/>
  <c r="G313" i="3"/>
  <c r="W313" i="3" s="1"/>
  <c r="G305" i="3"/>
  <c r="W305" i="3" s="1"/>
  <c r="G322" i="3"/>
  <c r="W322" i="3" s="1"/>
  <c r="G387" i="3"/>
  <c r="W387" i="3" s="1"/>
  <c r="G414" i="3"/>
  <c r="W414" i="3" s="1"/>
  <c r="G167" i="3"/>
  <c r="W167" i="3" s="1"/>
  <c r="G54" i="3"/>
  <c r="W54" i="3" s="1"/>
  <c r="G70" i="3"/>
  <c r="G30" i="3"/>
  <c r="W30" i="3" s="1"/>
  <c r="G153" i="3"/>
  <c r="G161" i="3"/>
  <c r="W161" i="3" s="1"/>
  <c r="G272" i="3"/>
  <c r="G258" i="3"/>
  <c r="G343" i="3"/>
  <c r="G337" i="3"/>
  <c r="W337" i="3" s="1"/>
  <c r="G327" i="3"/>
  <c r="W327" i="3" s="1"/>
  <c r="G395" i="3"/>
  <c r="W395" i="3" s="1"/>
  <c r="G418" i="3"/>
  <c r="W418" i="3" s="1"/>
  <c r="G46" i="3"/>
  <c r="W46" i="3" s="1"/>
  <c r="G187" i="3"/>
  <c r="W187" i="3" s="1"/>
  <c r="G171" i="3"/>
  <c r="W171" i="3" s="1"/>
  <c r="G291" i="3"/>
  <c r="W291" i="3" s="1"/>
  <c r="G356" i="3"/>
  <c r="W356" i="3" s="1"/>
  <c r="G246" i="3"/>
  <c r="G338" i="3"/>
  <c r="W338" i="3" s="1"/>
  <c r="G330" i="3"/>
  <c r="W330" i="3" s="1"/>
  <c r="G396" i="3"/>
  <c r="G124" i="3"/>
  <c r="G13" i="3"/>
  <c r="W13" i="3" s="1"/>
  <c r="G68" i="3"/>
  <c r="W68" i="3" s="1"/>
  <c r="G117" i="3"/>
  <c r="G196" i="3"/>
  <c r="W196" i="3" s="1"/>
  <c r="G201" i="3"/>
  <c r="W201" i="3" s="1"/>
  <c r="G146" i="3"/>
  <c r="W146" i="3" s="1"/>
  <c r="G261" i="3"/>
  <c r="W261" i="3" s="1"/>
  <c r="G351" i="3"/>
  <c r="W351" i="3" s="1"/>
  <c r="G359" i="3"/>
  <c r="W359" i="3" s="1"/>
  <c r="G413" i="3"/>
  <c r="W413" i="3" s="1"/>
  <c r="G97" i="3"/>
  <c r="G25" i="3"/>
  <c r="W25" i="3" s="1"/>
  <c r="G104" i="3"/>
  <c r="W104" i="3" s="1"/>
  <c r="G140" i="3"/>
  <c r="W140" i="3" s="1"/>
  <c r="G211" i="3"/>
  <c r="W211" i="3" s="1"/>
  <c r="G207" i="3"/>
  <c r="G150" i="3"/>
  <c r="G266" i="3"/>
  <c r="G317" i="3"/>
  <c r="W317" i="3" s="1"/>
  <c r="G324" i="3"/>
  <c r="W324" i="3" s="1"/>
  <c r="G372" i="3"/>
  <c r="W372" i="3" s="1"/>
  <c r="G99" i="3"/>
  <c r="W99" i="3" s="1"/>
  <c r="G35" i="3"/>
  <c r="W35" i="3" s="1"/>
  <c r="G144" i="3"/>
  <c r="W144" i="3" s="1"/>
  <c r="G203" i="3"/>
  <c r="W203" i="3" s="1"/>
  <c r="G208" i="3"/>
  <c r="G168" i="3"/>
  <c r="G281" i="3"/>
  <c r="W281" i="3" s="1"/>
  <c r="G332" i="3"/>
  <c r="G347" i="3"/>
  <c r="W347" i="3" s="1"/>
  <c r="G374" i="3"/>
  <c r="W374" i="3" s="1"/>
  <c r="K155" i="3"/>
  <c r="T155" i="3"/>
  <c r="Q155" i="3"/>
  <c r="N155" i="3"/>
  <c r="H155" i="3"/>
  <c r="W155" i="3"/>
  <c r="N97" i="3"/>
  <c r="K97" i="3"/>
  <c r="W97" i="3"/>
  <c r="T97" i="3"/>
  <c r="H97" i="3"/>
  <c r="Q97" i="3"/>
  <c r="Q27" i="3"/>
  <c r="N27" i="3"/>
  <c r="K27" i="3"/>
  <c r="H27" i="3"/>
  <c r="T27" i="3"/>
  <c r="N62" i="3"/>
  <c r="K62" i="3"/>
  <c r="H62" i="3"/>
  <c r="T62" i="3"/>
  <c r="Q62" i="3"/>
  <c r="T33" i="3"/>
  <c r="Q33" i="3"/>
  <c r="N33" i="3"/>
  <c r="K33" i="3"/>
  <c r="H33" i="3"/>
  <c r="Q32" i="3"/>
  <c r="N32" i="3"/>
  <c r="T32" i="3"/>
  <c r="K32" i="3"/>
  <c r="H32" i="3"/>
  <c r="T109" i="3"/>
  <c r="Q109" i="3"/>
  <c r="K109" i="3"/>
  <c r="H109" i="3"/>
  <c r="N109" i="3"/>
  <c r="Q124" i="3"/>
  <c r="N124" i="3"/>
  <c r="H124" i="3"/>
  <c r="W124" i="3"/>
  <c r="T124" i="3"/>
  <c r="K124" i="3"/>
  <c r="N215" i="3"/>
  <c r="Q215" i="3"/>
  <c r="K215" i="3"/>
  <c r="H215" i="3"/>
  <c r="T215" i="3"/>
  <c r="K151" i="3"/>
  <c r="T151" i="3"/>
  <c r="Q151" i="3"/>
  <c r="N151" i="3"/>
  <c r="H151" i="3"/>
  <c r="H302" i="3"/>
  <c r="T302" i="3"/>
  <c r="N302" i="3"/>
  <c r="K302" i="3"/>
  <c r="Q302" i="3"/>
  <c r="W174" i="3"/>
  <c r="T174" i="3"/>
  <c r="Q174" i="3"/>
  <c r="N174" i="3"/>
  <c r="K174" i="3"/>
  <c r="H174" i="3"/>
  <c r="N229" i="3"/>
  <c r="K229" i="3"/>
  <c r="Q229" i="3"/>
  <c r="T229" i="3"/>
  <c r="H229" i="3"/>
  <c r="Q192" i="3"/>
  <c r="H192" i="3"/>
  <c r="T192" i="3"/>
  <c r="N192" i="3"/>
  <c r="K192" i="3"/>
  <c r="Q224" i="3"/>
  <c r="K224" i="3"/>
  <c r="H224" i="3"/>
  <c r="T224" i="3"/>
  <c r="N224" i="3"/>
  <c r="K292" i="3"/>
  <c r="H292" i="3"/>
  <c r="T292" i="3"/>
  <c r="Q292" i="3"/>
  <c r="N292" i="3"/>
  <c r="T255" i="3"/>
  <c r="Q255" i="3"/>
  <c r="N255" i="3"/>
  <c r="K255" i="3"/>
  <c r="H255" i="3"/>
  <c r="T290" i="3"/>
  <c r="Q290" i="3"/>
  <c r="N290" i="3"/>
  <c r="K290" i="3"/>
  <c r="H290" i="3"/>
  <c r="K347" i="3"/>
  <c r="H347" i="3"/>
  <c r="Q347" i="3"/>
  <c r="N347" i="3"/>
  <c r="T347" i="3"/>
  <c r="Q299" i="3"/>
  <c r="N299" i="3"/>
  <c r="K299" i="3"/>
  <c r="H299" i="3"/>
  <c r="T299" i="3"/>
  <c r="T325" i="3"/>
  <c r="Q325" i="3"/>
  <c r="H325" i="3"/>
  <c r="K325" i="3"/>
  <c r="N325" i="3"/>
  <c r="T340" i="3"/>
  <c r="Q340" i="3"/>
  <c r="N340" i="3"/>
  <c r="K340" i="3"/>
  <c r="H340" i="3"/>
  <c r="W370" i="3"/>
  <c r="T370" i="3"/>
  <c r="K370" i="3"/>
  <c r="H370" i="3"/>
  <c r="N370" i="3"/>
  <c r="Q370" i="3"/>
  <c r="Q379" i="3"/>
  <c r="H379" i="3"/>
  <c r="W379" i="3"/>
  <c r="T379" i="3"/>
  <c r="N379" i="3"/>
  <c r="K379" i="3"/>
  <c r="H411" i="3"/>
  <c r="Q411" i="3"/>
  <c r="N411" i="3"/>
  <c r="K411" i="3"/>
  <c r="T411" i="3"/>
  <c r="Q34" i="3"/>
  <c r="T91" i="3"/>
  <c r="T13" i="3"/>
  <c r="G274" i="3"/>
  <c r="W274" i="3" s="1"/>
  <c r="G11" i="3"/>
  <c r="W11" i="3" s="1"/>
  <c r="G131" i="3"/>
  <c r="G64" i="3"/>
  <c r="W64" i="3" s="1"/>
  <c r="G101" i="3"/>
  <c r="W101" i="3" s="1"/>
  <c r="G234" i="3"/>
  <c r="W234" i="3" s="1"/>
  <c r="G254" i="3"/>
  <c r="W254" i="3" s="1"/>
  <c r="G133" i="3"/>
  <c r="W133" i="3" s="1"/>
  <c r="G175" i="3"/>
  <c r="W175" i="3" s="1"/>
  <c r="G215" i="3"/>
  <c r="W215" i="3" s="1"/>
  <c r="G248" i="3"/>
  <c r="W248" i="3" s="1"/>
  <c r="G148" i="3"/>
  <c r="W148" i="3" s="1"/>
  <c r="G180" i="3"/>
  <c r="W180" i="3" s="1"/>
  <c r="G377" i="3"/>
  <c r="G245" i="3"/>
  <c r="W245" i="3" s="1"/>
  <c r="G289" i="3"/>
  <c r="W289" i="3" s="1"/>
  <c r="G314" i="3"/>
  <c r="G300" i="3"/>
  <c r="W300" i="3" s="1"/>
  <c r="G344" i="3"/>
  <c r="W344" i="3" s="1"/>
  <c r="G352" i="3"/>
  <c r="W352" i="3" s="1"/>
  <c r="G411" i="3"/>
  <c r="W411" i="3" s="1"/>
  <c r="G384" i="3"/>
  <c r="W384" i="3" s="1"/>
  <c r="G416" i="3"/>
  <c r="W416" i="3" s="1"/>
  <c r="G15" i="3"/>
  <c r="W15" i="3" s="1"/>
  <c r="G4" i="3"/>
  <c r="W4" i="3" s="1"/>
  <c r="I6" i="3"/>
  <c r="J6" i="3" s="1"/>
  <c r="T18" i="3"/>
  <c r="T72" i="3"/>
  <c r="Q72" i="3"/>
  <c r="H72" i="3"/>
  <c r="K72" i="3"/>
  <c r="N72" i="3"/>
  <c r="N258" i="3"/>
  <c r="K258" i="3"/>
  <c r="Q258" i="3"/>
  <c r="H258" i="3"/>
  <c r="W258" i="3"/>
  <c r="T258" i="3"/>
  <c r="Q287" i="3"/>
  <c r="N287" i="3"/>
  <c r="K287" i="3"/>
  <c r="H287" i="3"/>
  <c r="T287" i="3"/>
  <c r="H73" i="3"/>
  <c r="T73" i="3"/>
  <c r="Q73" i="3"/>
  <c r="N73" i="3"/>
  <c r="K73" i="3"/>
  <c r="Q43" i="3"/>
  <c r="N43" i="3"/>
  <c r="K43" i="3"/>
  <c r="T43" i="3"/>
  <c r="H43" i="3"/>
  <c r="Q130" i="3"/>
  <c r="N130" i="3"/>
  <c r="H130" i="3"/>
  <c r="T130" i="3"/>
  <c r="K130" i="3"/>
  <c r="Q193" i="3"/>
  <c r="N193" i="3"/>
  <c r="T193" i="3"/>
  <c r="K193" i="3"/>
  <c r="H193" i="3"/>
  <c r="T270" i="3"/>
  <c r="Q270" i="3"/>
  <c r="N270" i="3"/>
  <c r="K270" i="3"/>
  <c r="H270" i="3"/>
  <c r="K337" i="3"/>
  <c r="H337" i="3"/>
  <c r="T337" i="3"/>
  <c r="Q337" i="3"/>
  <c r="N337" i="3"/>
  <c r="T15" i="3"/>
  <c r="T104" i="3"/>
  <c r="Q104" i="3"/>
  <c r="K104" i="3"/>
  <c r="H104" i="3"/>
  <c r="N104" i="3"/>
  <c r="N203" i="3"/>
  <c r="T203" i="3"/>
  <c r="Q203" i="3"/>
  <c r="K203" i="3"/>
  <c r="H203" i="3"/>
  <c r="T272" i="3"/>
  <c r="Q272" i="3"/>
  <c r="N272" i="3"/>
  <c r="K272" i="3"/>
  <c r="W272" i="3"/>
  <c r="H272" i="3"/>
  <c r="Q371" i="3"/>
  <c r="K371" i="3"/>
  <c r="H371" i="3"/>
  <c r="W371" i="3"/>
  <c r="T371" i="3"/>
  <c r="N371" i="3"/>
  <c r="N237" i="3"/>
  <c r="K237" i="3"/>
  <c r="H237" i="3"/>
  <c r="W237" i="3"/>
  <c r="T237" i="3"/>
  <c r="Q237" i="3"/>
  <c r="N225" i="3"/>
  <c r="K225" i="3"/>
  <c r="H225" i="3"/>
  <c r="T225" i="3"/>
  <c r="Q225" i="3"/>
  <c r="N282" i="3"/>
  <c r="K282" i="3"/>
  <c r="H282" i="3"/>
  <c r="T282" i="3"/>
  <c r="Q282" i="3"/>
  <c r="T319" i="3"/>
  <c r="Q319" i="3"/>
  <c r="K319" i="3"/>
  <c r="H319" i="3"/>
  <c r="N319" i="3"/>
  <c r="K30" i="3"/>
  <c r="T30" i="3"/>
  <c r="H30" i="3"/>
  <c r="Q30" i="3"/>
  <c r="N30" i="3"/>
  <c r="K149" i="3"/>
  <c r="H149" i="3"/>
  <c r="T149" i="3"/>
  <c r="Q149" i="3"/>
  <c r="N149" i="3"/>
  <c r="T170" i="3"/>
  <c r="Q170" i="3"/>
  <c r="N170" i="3"/>
  <c r="K170" i="3"/>
  <c r="H170" i="3"/>
  <c r="N221" i="3"/>
  <c r="T221" i="3"/>
  <c r="Q221" i="3"/>
  <c r="K221" i="3"/>
  <c r="H221" i="3"/>
  <c r="T276" i="3"/>
  <c r="Q276" i="3"/>
  <c r="N276" i="3"/>
  <c r="H276" i="3"/>
  <c r="K276" i="3"/>
  <c r="Q295" i="3"/>
  <c r="W295" i="3"/>
  <c r="N295" i="3"/>
  <c r="T295" i="3"/>
  <c r="K295" i="3"/>
  <c r="H295" i="3"/>
  <c r="H418" i="3"/>
  <c r="T418" i="3"/>
  <c r="Q418" i="3"/>
  <c r="N418" i="3"/>
  <c r="K418" i="3"/>
  <c r="Q375" i="3"/>
  <c r="T375" i="3"/>
  <c r="N375" i="3"/>
  <c r="K375" i="3"/>
  <c r="H375" i="3"/>
  <c r="Q407" i="3"/>
  <c r="W407" i="3"/>
  <c r="T407" i="3"/>
  <c r="K407" i="3"/>
  <c r="H407" i="3"/>
  <c r="N407" i="3"/>
  <c r="N34" i="3"/>
  <c r="N75" i="3"/>
  <c r="H75" i="3"/>
  <c r="T75" i="3"/>
  <c r="Q75" i="3"/>
  <c r="K75" i="3"/>
  <c r="Q108" i="3"/>
  <c r="N108" i="3"/>
  <c r="H108" i="3"/>
  <c r="T108" i="3"/>
  <c r="K108" i="3"/>
  <c r="H259" i="3"/>
  <c r="N259" i="3"/>
  <c r="K259" i="3"/>
  <c r="W259" i="3"/>
  <c r="T259" i="3"/>
  <c r="Q259" i="3"/>
  <c r="T338" i="3"/>
  <c r="Q338" i="3"/>
  <c r="N338" i="3"/>
  <c r="H338" i="3"/>
  <c r="K338" i="3"/>
  <c r="N113" i="3"/>
  <c r="K113" i="3"/>
  <c r="W113" i="3"/>
  <c r="T113" i="3"/>
  <c r="Q113" i="3"/>
  <c r="H113" i="3"/>
  <c r="N217" i="3"/>
  <c r="K217" i="3"/>
  <c r="H217" i="3"/>
  <c r="T217" i="3"/>
  <c r="Q217" i="3"/>
  <c r="H304" i="3"/>
  <c r="T304" i="3"/>
  <c r="N304" i="3"/>
  <c r="K304" i="3"/>
  <c r="Q304" i="3"/>
  <c r="K341" i="3"/>
  <c r="H341" i="3"/>
  <c r="T341" i="3"/>
  <c r="Q341" i="3"/>
  <c r="N341" i="3"/>
  <c r="Q381" i="3"/>
  <c r="H381" i="3"/>
  <c r="N381" i="3"/>
  <c r="K381" i="3"/>
  <c r="T381" i="3"/>
  <c r="N189" i="3"/>
  <c r="K189" i="3"/>
  <c r="T189" i="3"/>
  <c r="Q189" i="3"/>
  <c r="H189" i="3"/>
  <c r="Q196" i="3"/>
  <c r="N196" i="3"/>
  <c r="K196" i="3"/>
  <c r="H196" i="3"/>
  <c r="T196" i="3"/>
  <c r="Q265" i="3"/>
  <c r="N265" i="3"/>
  <c r="H265" i="3"/>
  <c r="T265" i="3"/>
  <c r="K265" i="3"/>
  <c r="T344" i="3"/>
  <c r="Q344" i="3"/>
  <c r="N344" i="3"/>
  <c r="K344" i="3"/>
  <c r="H344" i="3"/>
  <c r="Q383" i="3"/>
  <c r="T383" i="3"/>
  <c r="H383" i="3"/>
  <c r="N383" i="3"/>
  <c r="K383" i="3"/>
  <c r="K415" i="3"/>
  <c r="H415" i="3"/>
  <c r="Q415" i="3"/>
  <c r="N415" i="3"/>
  <c r="T415" i="3"/>
  <c r="G20" i="3"/>
  <c r="W20" i="3" s="1"/>
  <c r="G9" i="3"/>
  <c r="W9" i="3" s="1"/>
  <c r="K13" i="3"/>
  <c r="T106" i="3"/>
  <c r="G58" i="3"/>
  <c r="W58" i="3" s="1"/>
  <c r="G52" i="3"/>
  <c r="W52" i="3" s="1"/>
  <c r="G51" i="3"/>
  <c r="W51" i="3" s="1"/>
  <c r="G108" i="3"/>
  <c r="W108" i="3" s="1"/>
  <c r="G74" i="3"/>
  <c r="W74" i="3" s="1"/>
  <c r="G73" i="3"/>
  <c r="W73" i="3" s="1"/>
  <c r="G165" i="3"/>
  <c r="W165" i="3" s="1"/>
  <c r="G137" i="3"/>
  <c r="W137" i="3" s="1"/>
  <c r="G220" i="3"/>
  <c r="W220" i="3" s="1"/>
  <c r="G223" i="3"/>
  <c r="G341" i="3"/>
  <c r="W341" i="3" s="1"/>
  <c r="G152" i="3"/>
  <c r="W152" i="3" s="1"/>
  <c r="G184" i="3"/>
  <c r="W184" i="3" s="1"/>
  <c r="G276" i="3"/>
  <c r="W276" i="3" s="1"/>
  <c r="G290" i="3"/>
  <c r="W290" i="3" s="1"/>
  <c r="G309" i="3"/>
  <c r="W309" i="3" s="1"/>
  <c r="G333" i="3"/>
  <c r="W333" i="3" s="1"/>
  <c r="G304" i="3"/>
  <c r="W304" i="3" s="1"/>
  <c r="G349" i="3"/>
  <c r="W349" i="3" s="1"/>
  <c r="G368" i="3"/>
  <c r="W368" i="3" s="1"/>
  <c r="G415" i="3"/>
  <c r="W415" i="3" s="1"/>
  <c r="G388" i="3"/>
  <c r="W388" i="3" s="1"/>
  <c r="T85" i="3"/>
  <c r="G179" i="3"/>
  <c r="W179" i="3" s="1"/>
  <c r="Q177" i="3"/>
  <c r="T12" i="3"/>
  <c r="Q16" i="3"/>
  <c r="H16" i="3"/>
  <c r="N16" i="3"/>
  <c r="K16" i="3"/>
  <c r="T16" i="3"/>
  <c r="Q35" i="3"/>
  <c r="T35" i="3"/>
  <c r="N35" i="3"/>
  <c r="K35" i="3"/>
  <c r="H35" i="3"/>
  <c r="N102" i="3"/>
  <c r="K102" i="3"/>
  <c r="H102" i="3"/>
  <c r="T102" i="3"/>
  <c r="Q102" i="3"/>
  <c r="H89" i="3"/>
  <c r="T89" i="3"/>
  <c r="Q89" i="3"/>
  <c r="K89" i="3"/>
  <c r="N89" i="3"/>
  <c r="H84" i="3"/>
  <c r="W84" i="3"/>
  <c r="T84" i="3"/>
  <c r="Q84" i="3"/>
  <c r="N84" i="3"/>
  <c r="K84" i="3"/>
  <c r="Q82" i="3"/>
  <c r="N82" i="3"/>
  <c r="K82" i="3"/>
  <c r="H82" i="3"/>
  <c r="T82" i="3"/>
  <c r="K261" i="3"/>
  <c r="H261" i="3"/>
  <c r="N261" i="3"/>
  <c r="T261" i="3"/>
  <c r="Q261" i="3"/>
  <c r="N318" i="3"/>
  <c r="K318" i="3"/>
  <c r="H318" i="3"/>
  <c r="Q318" i="3"/>
  <c r="T318" i="3"/>
  <c r="Q138" i="3"/>
  <c r="N138" i="3"/>
  <c r="K138" i="3"/>
  <c r="T138" i="3"/>
  <c r="H138" i="3"/>
  <c r="Q148" i="3"/>
  <c r="N148" i="3"/>
  <c r="K148" i="3"/>
  <c r="T148" i="3"/>
  <c r="H148" i="3"/>
  <c r="T180" i="3"/>
  <c r="Q180" i="3"/>
  <c r="N180" i="3"/>
  <c r="K180" i="3"/>
  <c r="H180" i="3"/>
  <c r="N235" i="3"/>
  <c r="K235" i="3"/>
  <c r="Q235" i="3"/>
  <c r="T235" i="3"/>
  <c r="H235" i="3"/>
  <c r="Q198" i="3"/>
  <c r="N198" i="3"/>
  <c r="K198" i="3"/>
  <c r="H198" i="3"/>
  <c r="T198" i="3"/>
  <c r="T230" i="3"/>
  <c r="Q230" i="3"/>
  <c r="K230" i="3"/>
  <c r="H230" i="3"/>
  <c r="N230" i="3"/>
  <c r="K269" i="3"/>
  <c r="N269" i="3"/>
  <c r="H269" i="3"/>
  <c r="T269" i="3"/>
  <c r="Q269" i="3"/>
  <c r="K277" i="3"/>
  <c r="W277" i="3"/>
  <c r="T277" i="3"/>
  <c r="Q277" i="3"/>
  <c r="N277" i="3"/>
  <c r="H277" i="3"/>
  <c r="K343" i="3"/>
  <c r="H343" i="3"/>
  <c r="Q343" i="3"/>
  <c r="N343" i="3"/>
  <c r="W343" i="3"/>
  <c r="T343" i="3"/>
  <c r="T329" i="3"/>
  <c r="H329" i="3"/>
  <c r="Q329" i="3"/>
  <c r="N329" i="3"/>
  <c r="K329" i="3"/>
  <c r="Q305" i="3"/>
  <c r="K305" i="3"/>
  <c r="H305" i="3"/>
  <c r="T305" i="3"/>
  <c r="N305" i="3"/>
  <c r="N364" i="3"/>
  <c r="K364" i="3"/>
  <c r="H364" i="3"/>
  <c r="T364" i="3"/>
  <c r="Q364" i="3"/>
  <c r="T346" i="3"/>
  <c r="Q346" i="3"/>
  <c r="N346" i="3"/>
  <c r="K346" i="3"/>
  <c r="H346" i="3"/>
  <c r="Q363" i="3"/>
  <c r="K363" i="3"/>
  <c r="H363" i="3"/>
  <c r="T363" i="3"/>
  <c r="N363" i="3"/>
  <c r="Q385" i="3"/>
  <c r="T385" i="3"/>
  <c r="N385" i="3"/>
  <c r="K385" i="3"/>
  <c r="H385" i="3"/>
  <c r="W385" i="3"/>
  <c r="K417" i="3"/>
  <c r="H417" i="3"/>
  <c r="Q417" i="3"/>
  <c r="N417" i="3"/>
  <c r="T417" i="3"/>
  <c r="K91" i="3"/>
  <c r="G16" i="3"/>
  <c r="W16" i="3" s="1"/>
  <c r="K7" i="3"/>
  <c r="N7" i="3"/>
  <c r="Q7" i="3"/>
  <c r="N67" i="3"/>
  <c r="G76" i="3"/>
  <c r="W76" i="3" s="1"/>
  <c r="G81" i="3"/>
  <c r="W81" i="3" s="1"/>
  <c r="G61" i="3"/>
  <c r="W61" i="3" s="1"/>
  <c r="G115" i="3"/>
  <c r="W115" i="3" s="1"/>
  <c r="G90" i="3"/>
  <c r="W90" i="3" s="1"/>
  <c r="G89" i="3"/>
  <c r="W89" i="3" s="1"/>
  <c r="G177" i="3"/>
  <c r="W177" i="3" s="1"/>
  <c r="G139" i="3"/>
  <c r="G193" i="3"/>
  <c r="W193" i="3" s="1"/>
  <c r="G224" i="3"/>
  <c r="W224" i="3" s="1"/>
  <c r="G202" i="3"/>
  <c r="W202" i="3" s="1"/>
  <c r="G154" i="3"/>
  <c r="W154" i="3" s="1"/>
  <c r="G186" i="3"/>
  <c r="W186" i="3" s="1"/>
  <c r="G263" i="3"/>
  <c r="G279" i="3"/>
  <c r="W279" i="3" s="1"/>
  <c r="G307" i="3"/>
  <c r="W307" i="3" s="1"/>
  <c r="G336" i="3"/>
  <c r="W336" i="3" s="1"/>
  <c r="G306" i="3"/>
  <c r="W306" i="3" s="1"/>
  <c r="G331" i="3"/>
  <c r="W331" i="3" s="1"/>
  <c r="G364" i="3"/>
  <c r="W364" i="3" s="1"/>
  <c r="G367" i="3"/>
  <c r="W367" i="3" s="1"/>
  <c r="G390" i="3"/>
  <c r="W390" i="3" s="1"/>
  <c r="G6" i="3"/>
  <c r="W6" i="3" s="1"/>
  <c r="T147" i="3"/>
  <c r="N106" i="3"/>
  <c r="N15" i="3"/>
  <c r="T177" i="3"/>
  <c r="N12" i="3"/>
  <c r="K117" i="3"/>
  <c r="H117" i="3"/>
  <c r="W117" i="3"/>
  <c r="T117" i="3"/>
  <c r="Q117" i="3"/>
  <c r="N117" i="3"/>
  <c r="K339" i="3"/>
  <c r="H339" i="3"/>
  <c r="T339" i="3"/>
  <c r="Q339" i="3"/>
  <c r="N339" i="3"/>
  <c r="T10" i="3"/>
  <c r="Q10" i="3"/>
  <c r="N10" i="3"/>
  <c r="K10" i="3"/>
  <c r="H10" i="3"/>
  <c r="I132" i="3" s="1"/>
  <c r="J132" i="3" s="1"/>
  <c r="Q119" i="3"/>
  <c r="N119" i="3"/>
  <c r="W119" i="3"/>
  <c r="T119" i="3"/>
  <c r="K119" i="3"/>
  <c r="H119" i="3"/>
  <c r="N179" i="3"/>
  <c r="K179" i="3"/>
  <c r="T179" i="3"/>
  <c r="Q179" i="3"/>
  <c r="H179" i="3"/>
  <c r="N263" i="3"/>
  <c r="K263" i="3"/>
  <c r="H263" i="3"/>
  <c r="T263" i="3"/>
  <c r="Q263" i="3"/>
  <c r="W263" i="3"/>
  <c r="Q214" i="3"/>
  <c r="N214" i="3"/>
  <c r="K214" i="3"/>
  <c r="T214" i="3"/>
  <c r="H214" i="3"/>
  <c r="T262" i="3"/>
  <c r="Q262" i="3"/>
  <c r="K262" i="3"/>
  <c r="H262" i="3"/>
  <c r="W262" i="3"/>
  <c r="N262" i="3"/>
  <c r="Q289" i="3"/>
  <c r="K289" i="3"/>
  <c r="T289" i="3"/>
  <c r="N289" i="3"/>
  <c r="H289" i="3"/>
  <c r="Q315" i="3"/>
  <c r="W315" i="3"/>
  <c r="T315" i="3"/>
  <c r="K315" i="3"/>
  <c r="H315" i="3"/>
  <c r="N315" i="3"/>
  <c r="T353" i="3"/>
  <c r="Q353" i="3"/>
  <c r="N353" i="3"/>
  <c r="K353" i="3"/>
  <c r="H353" i="3"/>
  <c r="Q401" i="3"/>
  <c r="T401" i="3"/>
  <c r="N401" i="3"/>
  <c r="K401" i="3"/>
  <c r="H401" i="3"/>
  <c r="W126" i="3"/>
  <c r="T126" i="3"/>
  <c r="N126" i="3"/>
  <c r="H126" i="3"/>
  <c r="Q126" i="3"/>
  <c r="K126" i="3"/>
  <c r="Q60" i="3"/>
  <c r="T60" i="3"/>
  <c r="N60" i="3"/>
  <c r="H60" i="3"/>
  <c r="W60" i="3"/>
  <c r="K60" i="3"/>
  <c r="N223" i="3"/>
  <c r="Q223" i="3"/>
  <c r="K223" i="3"/>
  <c r="H223" i="3"/>
  <c r="W223" i="3"/>
  <c r="T223" i="3"/>
  <c r="T166" i="3"/>
  <c r="Q166" i="3"/>
  <c r="N166" i="3"/>
  <c r="K166" i="3"/>
  <c r="H166" i="3"/>
  <c r="Q216" i="3"/>
  <c r="K216" i="3"/>
  <c r="H216" i="3"/>
  <c r="T216" i="3"/>
  <c r="N216" i="3"/>
  <c r="T267" i="3"/>
  <c r="Q267" i="3"/>
  <c r="N267" i="3"/>
  <c r="K267" i="3"/>
  <c r="H267" i="3"/>
  <c r="Q291" i="3"/>
  <c r="N291" i="3"/>
  <c r="K291" i="3"/>
  <c r="H291" i="3"/>
  <c r="T291" i="3"/>
  <c r="H392" i="3"/>
  <c r="T392" i="3"/>
  <c r="Q392" i="3"/>
  <c r="K392" i="3"/>
  <c r="N392" i="3"/>
  <c r="Q403" i="3"/>
  <c r="H403" i="3"/>
  <c r="N403" i="3"/>
  <c r="K403" i="3"/>
  <c r="W403" i="3"/>
  <c r="T403" i="3"/>
  <c r="Q55" i="3"/>
  <c r="K52" i="3"/>
  <c r="N173" i="3"/>
  <c r="K173" i="3"/>
  <c r="T173" i="3"/>
  <c r="Q173" i="3"/>
  <c r="H173" i="3"/>
  <c r="T274" i="3"/>
  <c r="Q274" i="3"/>
  <c r="N274" i="3"/>
  <c r="K274" i="3"/>
  <c r="H274" i="3"/>
  <c r="K96" i="3"/>
  <c r="H96" i="3"/>
  <c r="T96" i="3"/>
  <c r="Q96" i="3"/>
  <c r="N96" i="3"/>
  <c r="N191" i="3"/>
  <c r="K191" i="3"/>
  <c r="T191" i="3"/>
  <c r="Q191" i="3"/>
  <c r="H191" i="3"/>
  <c r="N219" i="3"/>
  <c r="T219" i="3"/>
  <c r="Q219" i="3"/>
  <c r="K219" i="3"/>
  <c r="H219" i="3"/>
  <c r="Q220" i="3"/>
  <c r="T220" i="3"/>
  <c r="K220" i="3"/>
  <c r="N220" i="3"/>
  <c r="H220" i="3"/>
  <c r="N326" i="3"/>
  <c r="T326" i="3"/>
  <c r="H326" i="3"/>
  <c r="K326" i="3"/>
  <c r="Q326" i="3"/>
  <c r="T336" i="3"/>
  <c r="Q336" i="3"/>
  <c r="K336" i="3"/>
  <c r="H336" i="3"/>
  <c r="N336" i="3"/>
  <c r="K18" i="3"/>
  <c r="K112" i="3"/>
  <c r="H112" i="3"/>
  <c r="T112" i="3"/>
  <c r="N112" i="3"/>
  <c r="Q112" i="3"/>
  <c r="N181" i="3"/>
  <c r="K181" i="3"/>
  <c r="T181" i="3"/>
  <c r="Q181" i="3"/>
  <c r="H181" i="3"/>
  <c r="N201" i="3"/>
  <c r="K201" i="3"/>
  <c r="H201" i="3"/>
  <c r="T201" i="3"/>
  <c r="Q201" i="3"/>
  <c r="N227" i="3"/>
  <c r="W227" i="3"/>
  <c r="T227" i="3"/>
  <c r="Q227" i="3"/>
  <c r="K227" i="3"/>
  <c r="H227" i="3"/>
  <c r="Q222" i="3"/>
  <c r="N222" i="3"/>
  <c r="K222" i="3"/>
  <c r="H222" i="3"/>
  <c r="T222" i="3"/>
  <c r="T250" i="3"/>
  <c r="N250" i="3"/>
  <c r="Q250" i="3"/>
  <c r="K250" i="3"/>
  <c r="H250" i="3"/>
  <c r="T278" i="3"/>
  <c r="Q278" i="3"/>
  <c r="N278" i="3"/>
  <c r="W278" i="3"/>
  <c r="K278" i="3"/>
  <c r="H278" i="3"/>
  <c r="T323" i="3"/>
  <c r="Q323" i="3"/>
  <c r="H323" i="3"/>
  <c r="N323" i="3"/>
  <c r="K323" i="3"/>
  <c r="H388" i="3"/>
  <c r="K388" i="3"/>
  <c r="Q388" i="3"/>
  <c r="N388" i="3"/>
  <c r="T388" i="3"/>
  <c r="Q377" i="3"/>
  <c r="T377" i="3"/>
  <c r="N377" i="3"/>
  <c r="K377" i="3"/>
  <c r="H377" i="3"/>
  <c r="W377" i="3"/>
  <c r="Q409" i="3"/>
  <c r="T409" i="3"/>
  <c r="N409" i="3"/>
  <c r="H409" i="3"/>
  <c r="K409" i="3"/>
  <c r="N52" i="3"/>
  <c r="K161" i="3"/>
  <c r="Q18" i="3"/>
  <c r="T49" i="3"/>
  <c r="Q49" i="3"/>
  <c r="N49" i="3"/>
  <c r="K49" i="3"/>
  <c r="H49" i="3"/>
  <c r="N171" i="3"/>
  <c r="K171" i="3"/>
  <c r="Q171" i="3"/>
  <c r="H171" i="3"/>
  <c r="T171" i="3"/>
  <c r="T228" i="3"/>
  <c r="Q228" i="3"/>
  <c r="K228" i="3"/>
  <c r="H228" i="3"/>
  <c r="N228" i="3"/>
  <c r="T361" i="3"/>
  <c r="Q361" i="3"/>
  <c r="N361" i="3"/>
  <c r="K361" i="3"/>
  <c r="H361" i="3"/>
  <c r="N31" i="3"/>
  <c r="K31" i="3"/>
  <c r="T31" i="3"/>
  <c r="Q31" i="3"/>
  <c r="H31" i="3"/>
  <c r="Q98" i="3"/>
  <c r="N98" i="3"/>
  <c r="T98" i="3"/>
  <c r="K98" i="3"/>
  <c r="H98" i="3"/>
  <c r="N207" i="3"/>
  <c r="Q207" i="3"/>
  <c r="K207" i="3"/>
  <c r="H207" i="3"/>
  <c r="W207" i="3"/>
  <c r="T207" i="3"/>
  <c r="T182" i="3"/>
  <c r="Q182" i="3"/>
  <c r="N182" i="3"/>
  <c r="K182" i="3"/>
  <c r="H182" i="3"/>
  <c r="Q200" i="3"/>
  <c r="T200" i="3"/>
  <c r="N200" i="3"/>
  <c r="K200" i="3"/>
  <c r="H200" i="3"/>
  <c r="W200" i="3"/>
  <c r="K251" i="3"/>
  <c r="H251" i="3"/>
  <c r="T251" i="3"/>
  <c r="N251" i="3"/>
  <c r="Q251" i="3"/>
  <c r="H404" i="3"/>
  <c r="K404" i="3"/>
  <c r="T404" i="3"/>
  <c r="Q404" i="3"/>
  <c r="N404" i="3"/>
  <c r="Q307" i="3"/>
  <c r="H307" i="3"/>
  <c r="T307" i="3"/>
  <c r="N307" i="3"/>
  <c r="K307" i="3"/>
  <c r="H374" i="3"/>
  <c r="T374" i="3"/>
  <c r="Q374" i="3"/>
  <c r="K374" i="3"/>
  <c r="N374" i="3"/>
  <c r="Q387" i="3"/>
  <c r="H387" i="3"/>
  <c r="T387" i="3"/>
  <c r="K387" i="3"/>
  <c r="N387" i="3"/>
  <c r="N91" i="3"/>
  <c r="G88" i="3"/>
  <c r="W88" i="3" s="1"/>
  <c r="G181" i="3"/>
  <c r="W181" i="3" s="1"/>
  <c r="G156" i="3"/>
  <c r="Q8" i="3"/>
  <c r="N8" i="3"/>
  <c r="K8" i="3"/>
  <c r="H8" i="3"/>
  <c r="T8" i="3"/>
  <c r="Q17" i="3"/>
  <c r="T17" i="3"/>
  <c r="N17" i="3"/>
  <c r="H17" i="3"/>
  <c r="K17" i="3"/>
  <c r="H29" i="3"/>
  <c r="T29" i="3"/>
  <c r="Q29" i="3"/>
  <c r="N29" i="3"/>
  <c r="K29" i="3"/>
  <c r="N118" i="3"/>
  <c r="K118" i="3"/>
  <c r="T118" i="3"/>
  <c r="H118" i="3"/>
  <c r="Q118" i="3"/>
  <c r="K122" i="3"/>
  <c r="H122" i="3"/>
  <c r="Q122" i="3"/>
  <c r="T122" i="3"/>
  <c r="N122" i="3"/>
  <c r="Q114" i="3"/>
  <c r="N114" i="3"/>
  <c r="T114" i="3"/>
  <c r="K114" i="3"/>
  <c r="H114" i="3"/>
  <c r="H133" i="3"/>
  <c r="Q133" i="3"/>
  <c r="T133" i="3"/>
  <c r="K133" i="3"/>
  <c r="N133" i="3"/>
  <c r="N209" i="3"/>
  <c r="K209" i="3"/>
  <c r="H209" i="3"/>
  <c r="T209" i="3"/>
  <c r="Q209" i="3"/>
  <c r="Q142" i="3"/>
  <c r="N142" i="3"/>
  <c r="K142" i="3"/>
  <c r="W142" i="3"/>
  <c r="H142" i="3"/>
  <c r="T142" i="3"/>
  <c r="Q152" i="3"/>
  <c r="T152" i="3"/>
  <c r="N152" i="3"/>
  <c r="K152" i="3"/>
  <c r="H152" i="3"/>
  <c r="T184" i="3"/>
  <c r="Q184" i="3"/>
  <c r="N184" i="3"/>
  <c r="K184" i="3"/>
  <c r="H184" i="3"/>
  <c r="H300" i="3"/>
  <c r="T300" i="3"/>
  <c r="N300" i="3"/>
  <c r="Q300" i="3"/>
  <c r="K300" i="3"/>
  <c r="Q202" i="3"/>
  <c r="H202" i="3"/>
  <c r="N202" i="3"/>
  <c r="T202" i="3"/>
  <c r="K202" i="3"/>
  <c r="T234" i="3"/>
  <c r="Q234" i="3"/>
  <c r="K234" i="3"/>
  <c r="H234" i="3"/>
  <c r="N234" i="3"/>
  <c r="K253" i="3"/>
  <c r="T253" i="3"/>
  <c r="Q253" i="3"/>
  <c r="H253" i="3"/>
  <c r="N253" i="3"/>
  <c r="H306" i="3"/>
  <c r="T306" i="3"/>
  <c r="K306" i="3"/>
  <c r="Q306" i="3"/>
  <c r="N306" i="3"/>
  <c r="T284" i="3"/>
  <c r="Q284" i="3"/>
  <c r="N284" i="3"/>
  <c r="K284" i="3"/>
  <c r="H284" i="3"/>
  <c r="W284" i="3"/>
  <c r="H352" i="3"/>
  <c r="Q352" i="3"/>
  <c r="N352" i="3"/>
  <c r="K352" i="3"/>
  <c r="T352" i="3"/>
  <c r="Q309" i="3"/>
  <c r="K309" i="3"/>
  <c r="N309" i="3"/>
  <c r="H309" i="3"/>
  <c r="T309" i="3"/>
  <c r="K335" i="3"/>
  <c r="T335" i="3"/>
  <c r="H335" i="3"/>
  <c r="Q335" i="3"/>
  <c r="N335" i="3"/>
  <c r="T355" i="3"/>
  <c r="W355" i="3"/>
  <c r="Q355" i="3"/>
  <c r="N355" i="3"/>
  <c r="H355" i="3"/>
  <c r="K355" i="3"/>
  <c r="H382" i="3"/>
  <c r="W382" i="3"/>
  <c r="T382" i="3"/>
  <c r="Q382" i="3"/>
  <c r="N382" i="3"/>
  <c r="K382" i="3"/>
  <c r="Q389" i="3"/>
  <c r="H389" i="3"/>
  <c r="K389" i="3"/>
  <c r="T389" i="3"/>
  <c r="N389" i="3"/>
  <c r="N199" i="3"/>
  <c r="K3" i="3"/>
  <c r="T51" i="3"/>
  <c r="Q51" i="3"/>
  <c r="T67" i="3"/>
  <c r="G173" i="3"/>
  <c r="W173" i="3" s="1"/>
  <c r="G112" i="3"/>
  <c r="W112" i="3" s="1"/>
  <c r="G91" i="3"/>
  <c r="W91" i="3" s="1"/>
  <c r="G34" i="3"/>
  <c r="W34" i="3" s="1"/>
  <c r="G122" i="3"/>
  <c r="W122" i="3" s="1"/>
  <c r="G121" i="3"/>
  <c r="G185" i="3"/>
  <c r="G143" i="3"/>
  <c r="W143" i="3" s="1"/>
  <c r="G205" i="3"/>
  <c r="G194" i="3"/>
  <c r="W194" i="3" s="1"/>
  <c r="G210" i="3"/>
  <c r="W210" i="3" s="1"/>
  <c r="G158" i="3"/>
  <c r="W158" i="3" s="1"/>
  <c r="G190" i="3"/>
  <c r="W190" i="3" s="1"/>
  <c r="G346" i="3"/>
  <c r="W346" i="3" s="1"/>
  <c r="G299" i="3"/>
  <c r="W299" i="3" s="1"/>
  <c r="G283" i="3"/>
  <c r="W283" i="3" s="1"/>
  <c r="G353" i="3"/>
  <c r="W353" i="3" s="1"/>
  <c r="G310" i="3"/>
  <c r="W310" i="3" s="1"/>
  <c r="G334" i="3"/>
  <c r="W334" i="3" s="1"/>
  <c r="G366" i="3"/>
  <c r="W366" i="3" s="1"/>
  <c r="G381" i="3"/>
  <c r="W381" i="3" s="1"/>
  <c r="G394" i="3"/>
  <c r="W394" i="3" s="1"/>
  <c r="T56" i="3"/>
  <c r="N177" i="3"/>
  <c r="H298" i="3"/>
  <c r="W298" i="3"/>
  <c r="T298" i="3"/>
  <c r="Q298" i="3"/>
  <c r="N298" i="3"/>
  <c r="K298" i="3"/>
  <c r="T247" i="3"/>
  <c r="H247" i="3"/>
  <c r="Q247" i="3"/>
  <c r="K247" i="3"/>
  <c r="N247" i="3"/>
  <c r="Q399" i="3"/>
  <c r="T399" i="3"/>
  <c r="N399" i="3"/>
  <c r="K399" i="3"/>
  <c r="H399" i="3"/>
  <c r="H38" i="3"/>
  <c r="N38" i="3"/>
  <c r="K38" i="3"/>
  <c r="W38" i="3"/>
  <c r="T38" i="3"/>
  <c r="Q38" i="3"/>
  <c r="N183" i="3"/>
  <c r="K183" i="3"/>
  <c r="T183" i="3"/>
  <c r="H183" i="3"/>
  <c r="Q183" i="3"/>
  <c r="H264" i="3"/>
  <c r="T264" i="3"/>
  <c r="Q264" i="3"/>
  <c r="W264" i="3"/>
  <c r="K264" i="3"/>
  <c r="N264" i="3"/>
  <c r="T317" i="3"/>
  <c r="Q317" i="3"/>
  <c r="K317" i="3"/>
  <c r="H317" i="3"/>
  <c r="N317" i="3"/>
  <c r="Q76" i="3"/>
  <c r="T76" i="3"/>
  <c r="N76" i="3"/>
  <c r="K76" i="3"/>
  <c r="H76" i="3"/>
  <c r="N213" i="3"/>
  <c r="T213" i="3"/>
  <c r="Q213" i="3"/>
  <c r="K213" i="3"/>
  <c r="H213" i="3"/>
  <c r="Q293" i="3"/>
  <c r="H293" i="3"/>
  <c r="T293" i="3"/>
  <c r="K293" i="3"/>
  <c r="N293" i="3"/>
  <c r="Q373" i="3"/>
  <c r="H373" i="3"/>
  <c r="T373" i="3"/>
  <c r="N373" i="3"/>
  <c r="K373" i="3"/>
  <c r="N18" i="3"/>
  <c r="N123" i="3"/>
  <c r="K123" i="3"/>
  <c r="T123" i="3"/>
  <c r="Q123" i="3"/>
  <c r="H123" i="3"/>
  <c r="N231" i="3"/>
  <c r="K231" i="3"/>
  <c r="Q231" i="3"/>
  <c r="H231" i="3"/>
  <c r="T231" i="3"/>
  <c r="H310" i="3"/>
  <c r="T310" i="3"/>
  <c r="N310" i="3"/>
  <c r="K310" i="3"/>
  <c r="Q310" i="3"/>
  <c r="T321" i="3"/>
  <c r="Q321" i="3"/>
  <c r="K321" i="3"/>
  <c r="H321" i="3"/>
  <c r="N321" i="3"/>
  <c r="Q161" i="3"/>
  <c r="T131" i="3"/>
  <c r="Q131" i="3"/>
  <c r="W131" i="3"/>
  <c r="K131" i="3"/>
  <c r="H131" i="3"/>
  <c r="N131" i="3"/>
  <c r="N328" i="3"/>
  <c r="T328" i="3"/>
  <c r="Q328" i="3"/>
  <c r="H328" i="3"/>
  <c r="K328" i="3"/>
  <c r="Q20" i="3"/>
  <c r="N20" i="3"/>
  <c r="T20" i="3"/>
  <c r="N129" i="3"/>
  <c r="Q129" i="3"/>
  <c r="H129" i="3"/>
  <c r="W129" i="3"/>
  <c r="T129" i="3"/>
  <c r="K129" i="3"/>
  <c r="W176" i="3"/>
  <c r="T176" i="3"/>
  <c r="Q176" i="3"/>
  <c r="N176" i="3"/>
  <c r="K176" i="3"/>
  <c r="H176" i="3"/>
  <c r="H294" i="3"/>
  <c r="N294" i="3"/>
  <c r="K294" i="3"/>
  <c r="T294" i="3"/>
  <c r="Q294" i="3"/>
  <c r="T359" i="3"/>
  <c r="Q359" i="3"/>
  <c r="N359" i="3"/>
  <c r="K359" i="3"/>
  <c r="H359" i="3"/>
  <c r="Q39" i="3"/>
  <c r="T39" i="3"/>
  <c r="N39" i="3"/>
  <c r="K39" i="3"/>
  <c r="W39" i="3"/>
  <c r="H39" i="3"/>
  <c r="H105" i="3"/>
  <c r="T105" i="3"/>
  <c r="K105" i="3"/>
  <c r="Q105" i="3"/>
  <c r="N105" i="3"/>
  <c r="Q66" i="3"/>
  <c r="N66" i="3"/>
  <c r="K66" i="3"/>
  <c r="T66" i="3"/>
  <c r="H66" i="3"/>
  <c r="T243" i="3"/>
  <c r="Q243" i="3"/>
  <c r="N243" i="3"/>
  <c r="H243" i="3"/>
  <c r="K243" i="3"/>
  <c r="T178" i="3"/>
  <c r="Q178" i="3"/>
  <c r="N178" i="3"/>
  <c r="H178" i="3"/>
  <c r="K178" i="3"/>
  <c r="T268" i="3"/>
  <c r="N268" i="3"/>
  <c r="K268" i="3"/>
  <c r="H268" i="3"/>
  <c r="Q268" i="3"/>
  <c r="K314" i="3"/>
  <c r="H314" i="3"/>
  <c r="W314" i="3"/>
  <c r="N314" i="3"/>
  <c r="T314" i="3"/>
  <c r="Q314" i="3"/>
  <c r="G151" i="3"/>
  <c r="W151" i="3" s="1"/>
  <c r="G286" i="3"/>
  <c r="W286" i="3" s="1"/>
  <c r="G326" i="3"/>
  <c r="W326" i="3" s="1"/>
  <c r="G308" i="3"/>
  <c r="W308" i="3" s="1"/>
  <c r="G392" i="3"/>
  <c r="W392" i="3" s="1"/>
  <c r="T28" i="3"/>
  <c r="Q28" i="3"/>
  <c r="N28" i="3"/>
  <c r="K28" i="3"/>
  <c r="H28" i="3"/>
  <c r="T77" i="3"/>
  <c r="K77" i="3"/>
  <c r="H77" i="3"/>
  <c r="Q77" i="3"/>
  <c r="N77" i="3"/>
  <c r="H45" i="3"/>
  <c r="W45" i="3"/>
  <c r="T45" i="3"/>
  <c r="Q45" i="3"/>
  <c r="N45" i="3"/>
  <c r="K45" i="3"/>
  <c r="Q54" i="3"/>
  <c r="N54" i="3"/>
  <c r="H54" i="3"/>
  <c r="T54" i="3"/>
  <c r="K54" i="3"/>
  <c r="H111" i="3"/>
  <c r="Q111" i="3"/>
  <c r="K111" i="3"/>
  <c r="T111" i="3"/>
  <c r="N111" i="3"/>
  <c r="N165" i="3"/>
  <c r="K165" i="3"/>
  <c r="T165" i="3"/>
  <c r="Q165" i="3"/>
  <c r="H165" i="3"/>
  <c r="H135" i="3"/>
  <c r="W135" i="3"/>
  <c r="Q135" i="3"/>
  <c r="K135" i="3"/>
  <c r="T135" i="3"/>
  <c r="N135" i="3"/>
  <c r="N169" i="3"/>
  <c r="K169" i="3"/>
  <c r="H169" i="3"/>
  <c r="W169" i="3"/>
  <c r="T169" i="3"/>
  <c r="Q169" i="3"/>
  <c r="Q144" i="3"/>
  <c r="N144" i="3"/>
  <c r="K144" i="3"/>
  <c r="H144" i="3"/>
  <c r="T144" i="3"/>
  <c r="Q154" i="3"/>
  <c r="T154" i="3"/>
  <c r="N154" i="3"/>
  <c r="K154" i="3"/>
  <c r="H154" i="3"/>
  <c r="T186" i="3"/>
  <c r="Q186" i="3"/>
  <c r="N186" i="3"/>
  <c r="H186" i="3"/>
  <c r="K186" i="3"/>
  <c r="H386" i="3"/>
  <c r="K386" i="3"/>
  <c r="T386" i="3"/>
  <c r="Q386" i="3"/>
  <c r="N386" i="3"/>
  <c r="Q204" i="3"/>
  <c r="T204" i="3"/>
  <c r="K204" i="3"/>
  <c r="N204" i="3"/>
  <c r="H204" i="3"/>
  <c r="T236" i="3"/>
  <c r="Q236" i="3"/>
  <c r="H236" i="3"/>
  <c r="W236" i="3"/>
  <c r="K236" i="3"/>
  <c r="N236" i="3"/>
  <c r="K275" i="3"/>
  <c r="W275" i="3"/>
  <c r="T275" i="3"/>
  <c r="Q275" i="3"/>
  <c r="N275" i="3"/>
  <c r="H275" i="3"/>
  <c r="H396" i="3"/>
  <c r="W396" i="3"/>
  <c r="K396" i="3"/>
  <c r="T396" i="3"/>
  <c r="N396" i="3"/>
  <c r="Q396" i="3"/>
  <c r="N320" i="3"/>
  <c r="K320" i="3"/>
  <c r="H320" i="3"/>
  <c r="T320" i="3"/>
  <c r="Q320" i="3"/>
  <c r="Q279" i="3"/>
  <c r="N279" i="3"/>
  <c r="H279" i="3"/>
  <c r="T279" i="3"/>
  <c r="K279" i="3"/>
  <c r="Q311" i="3"/>
  <c r="N311" i="3"/>
  <c r="K311" i="3"/>
  <c r="T311" i="3"/>
  <c r="H311" i="3"/>
  <c r="H394" i="3"/>
  <c r="K394" i="3"/>
  <c r="Q394" i="3"/>
  <c r="N394" i="3"/>
  <c r="T394" i="3"/>
  <c r="H384" i="3"/>
  <c r="T384" i="3"/>
  <c r="Q384" i="3"/>
  <c r="K384" i="3"/>
  <c r="N384" i="3"/>
  <c r="H390" i="3"/>
  <c r="T390" i="3"/>
  <c r="N390" i="3"/>
  <c r="K390" i="3"/>
  <c r="Q390" i="3"/>
  <c r="Q391" i="3"/>
  <c r="W391" i="3"/>
  <c r="T391" i="3"/>
  <c r="N391" i="3"/>
  <c r="H391" i="3"/>
  <c r="K391" i="3"/>
  <c r="T199" i="3"/>
  <c r="T57" i="3"/>
  <c r="G2" i="3"/>
  <c r="W2" i="3" s="1"/>
  <c r="G43" i="3"/>
  <c r="W43" i="3" s="1"/>
  <c r="T19" i="3"/>
  <c r="Q19" i="3"/>
  <c r="G48" i="3"/>
  <c r="W48" i="3" s="1"/>
  <c r="G12" i="3"/>
  <c r="W12" i="3" s="1"/>
  <c r="G120" i="3"/>
  <c r="W120" i="3" s="1"/>
  <c r="G95" i="3"/>
  <c r="G50" i="3"/>
  <c r="W50" i="3" s="1"/>
  <c r="G249" i="3"/>
  <c r="G62" i="3"/>
  <c r="W62" i="3" s="1"/>
  <c r="G189" i="3"/>
  <c r="W189" i="3" s="1"/>
  <c r="G145" i="3"/>
  <c r="W145" i="3" s="1"/>
  <c r="G206" i="3"/>
  <c r="W206" i="3" s="1"/>
  <c r="G230" i="3"/>
  <c r="W230" i="3" s="1"/>
  <c r="G217" i="3"/>
  <c r="W217" i="3" s="1"/>
  <c r="G160" i="3"/>
  <c r="W160" i="3" s="1"/>
  <c r="G197" i="3"/>
  <c r="W197" i="3" s="1"/>
  <c r="G265" i="3"/>
  <c r="W265" i="3" s="1"/>
  <c r="G311" i="3"/>
  <c r="W311" i="3" s="1"/>
  <c r="G293" i="3"/>
  <c r="W293" i="3" s="1"/>
  <c r="G409" i="3"/>
  <c r="W409" i="3" s="1"/>
  <c r="G312" i="3"/>
  <c r="G361" i="3"/>
  <c r="W361" i="3" s="1"/>
  <c r="G375" i="3"/>
  <c r="W375" i="3" s="1"/>
  <c r="G389" i="3"/>
  <c r="W389" i="3" s="1"/>
  <c r="T161" i="3"/>
  <c r="N147" i="3"/>
  <c r="K56" i="3"/>
  <c r="Q86" i="3"/>
  <c r="T159" i="3"/>
  <c r="T61" i="3"/>
  <c r="H61" i="3"/>
  <c r="N61" i="3"/>
  <c r="K61" i="3"/>
  <c r="Q61" i="3"/>
  <c r="K101" i="3"/>
  <c r="H101" i="3"/>
  <c r="N101" i="3"/>
  <c r="T101" i="3"/>
  <c r="Q101" i="3"/>
  <c r="T351" i="3"/>
  <c r="N351" i="3"/>
  <c r="K351" i="3"/>
  <c r="Q351" i="3"/>
  <c r="H351" i="3"/>
  <c r="Q212" i="3"/>
  <c r="W212" i="3"/>
  <c r="T212" i="3"/>
  <c r="K212" i="3"/>
  <c r="N212" i="3"/>
  <c r="H212" i="3"/>
  <c r="H372" i="3"/>
  <c r="K372" i="3"/>
  <c r="N372" i="3"/>
  <c r="T372" i="3"/>
  <c r="Q372" i="3"/>
  <c r="H376" i="3"/>
  <c r="W376" i="3"/>
  <c r="T376" i="3"/>
  <c r="Q376" i="3"/>
  <c r="K376" i="3"/>
  <c r="N376" i="3"/>
  <c r="Q367" i="3"/>
  <c r="K367" i="3"/>
  <c r="H367" i="3"/>
  <c r="T367" i="3"/>
  <c r="N367" i="3"/>
  <c r="T88" i="3"/>
  <c r="Q88" i="3"/>
  <c r="K88" i="3"/>
  <c r="N88" i="3"/>
  <c r="H88" i="3"/>
  <c r="K153" i="3"/>
  <c r="W153" i="3"/>
  <c r="T153" i="3"/>
  <c r="Q153" i="3"/>
  <c r="N153" i="3"/>
  <c r="H153" i="3"/>
  <c r="Q330" i="3"/>
  <c r="N330" i="3"/>
  <c r="H330" i="3"/>
  <c r="T330" i="3"/>
  <c r="K330" i="3"/>
  <c r="N19" i="3"/>
  <c r="T93" i="3"/>
  <c r="Q93" i="3"/>
  <c r="H93" i="3"/>
  <c r="N93" i="3"/>
  <c r="K93" i="3"/>
  <c r="N70" i="3"/>
  <c r="W70" i="3"/>
  <c r="T70" i="3"/>
  <c r="Q70" i="3"/>
  <c r="K70" i="3"/>
  <c r="H70" i="3"/>
  <c r="N187" i="3"/>
  <c r="K187" i="3"/>
  <c r="T187" i="3"/>
  <c r="Q187" i="3"/>
  <c r="H187" i="3"/>
  <c r="Q218" i="3"/>
  <c r="H218" i="3"/>
  <c r="N218" i="3"/>
  <c r="T218" i="3"/>
  <c r="K218" i="3"/>
  <c r="H331" i="3"/>
  <c r="N331" i="3"/>
  <c r="K331" i="3"/>
  <c r="Q331" i="3"/>
  <c r="T331" i="3"/>
  <c r="W350" i="3"/>
  <c r="N350" i="3"/>
  <c r="K350" i="3"/>
  <c r="H350" i="3"/>
  <c r="T350" i="3"/>
  <c r="Q350" i="3"/>
  <c r="Q405" i="3"/>
  <c r="H405" i="3"/>
  <c r="T405" i="3"/>
  <c r="N405" i="3"/>
  <c r="K405" i="3"/>
  <c r="Q92" i="3"/>
  <c r="T92" i="3"/>
  <c r="N92" i="3"/>
  <c r="K92" i="3"/>
  <c r="H92" i="3"/>
  <c r="N246" i="3"/>
  <c r="K246" i="3"/>
  <c r="H246" i="3"/>
  <c r="T246" i="3"/>
  <c r="Q246" i="3"/>
  <c r="W246" i="3"/>
  <c r="K266" i="3"/>
  <c r="H266" i="3"/>
  <c r="W266" i="3"/>
  <c r="T266" i="3"/>
  <c r="Q266" i="3"/>
  <c r="N266" i="3"/>
  <c r="Q48" i="3"/>
  <c r="N48" i="3"/>
  <c r="T48" i="3"/>
  <c r="K48" i="3"/>
  <c r="H48" i="3"/>
  <c r="Q194" i="3"/>
  <c r="K194" i="3"/>
  <c r="H194" i="3"/>
  <c r="T194" i="3"/>
  <c r="N194" i="3"/>
  <c r="Q301" i="3"/>
  <c r="N301" i="3"/>
  <c r="K301" i="3"/>
  <c r="H301" i="3"/>
  <c r="T301" i="3"/>
  <c r="G8" i="3"/>
  <c r="W8" i="3" s="1"/>
  <c r="G53" i="3"/>
  <c r="W53" i="3" s="1"/>
  <c r="G191" i="3"/>
  <c r="W191" i="3" s="1"/>
  <c r="G69" i="3"/>
  <c r="W69" i="3" s="1"/>
  <c r="G57" i="3"/>
  <c r="W57" i="3" s="1"/>
  <c r="G37" i="3"/>
  <c r="W37" i="3" s="1"/>
  <c r="G23" i="3"/>
  <c r="G229" i="3"/>
  <c r="W229" i="3" s="1"/>
  <c r="G41" i="3"/>
  <c r="W41" i="3" s="1"/>
  <c r="G32" i="3"/>
  <c r="W32" i="3" s="1"/>
  <c r="G125" i="3"/>
  <c r="W125" i="3" s="1"/>
  <c r="G96" i="3"/>
  <c r="W96" i="3" s="1"/>
  <c r="G128" i="3"/>
  <c r="W128" i="3" s="1"/>
  <c r="G123" i="3"/>
  <c r="W123" i="3" s="1"/>
  <c r="G98" i="3"/>
  <c r="W98" i="3" s="1"/>
  <c r="G10" i="3"/>
  <c r="W10" i="3" s="1"/>
  <c r="G3" i="3"/>
  <c r="W3" i="3" s="1"/>
  <c r="G92" i="3"/>
  <c r="W92" i="3" s="1"/>
  <c r="G21" i="3"/>
  <c r="W21" i="3" s="1"/>
  <c r="G66" i="3"/>
  <c r="W66" i="3" s="1"/>
  <c r="G49" i="3"/>
  <c r="W49" i="3" s="1"/>
  <c r="G63" i="3"/>
  <c r="W63" i="3" s="1"/>
  <c r="G65" i="3"/>
  <c r="W65" i="3" s="1"/>
  <c r="G212" i="3"/>
  <c r="G36" i="3"/>
  <c r="W36" i="3" s="1"/>
  <c r="G17" i="3"/>
  <c r="W17" i="3" s="1"/>
  <c r="G18" i="3"/>
  <c r="W18" i="3" s="1"/>
  <c r="G55" i="3"/>
  <c r="W55" i="3" s="1"/>
  <c r="G40" i="3"/>
  <c r="W40" i="3" s="1"/>
  <c r="G44" i="3"/>
  <c r="W44" i="3" s="1"/>
  <c r="G22" i="3"/>
  <c r="W22" i="3" s="1"/>
  <c r="G7" i="3"/>
  <c r="W7" i="3" s="1"/>
  <c r="G204" i="3"/>
  <c r="W204" i="3" s="1"/>
  <c r="G14" i="3"/>
  <c r="W14" i="3" s="1"/>
  <c r="Q146" i="3"/>
  <c r="T146" i="3"/>
  <c r="N146" i="3"/>
  <c r="H146" i="3"/>
  <c r="K146" i="3"/>
  <c r="Q303" i="3"/>
  <c r="N303" i="3"/>
  <c r="K303" i="3"/>
  <c r="H303" i="3"/>
  <c r="T303" i="3"/>
  <c r="Q288" i="3"/>
  <c r="K288" i="3"/>
  <c r="T288" i="3"/>
  <c r="N288" i="3"/>
  <c r="W288" i="3"/>
  <c r="H288" i="3"/>
  <c r="K273" i="3"/>
  <c r="H273" i="3"/>
  <c r="T273" i="3"/>
  <c r="Q273" i="3"/>
  <c r="N273" i="3"/>
  <c r="T357" i="3"/>
  <c r="Q357" i="3"/>
  <c r="H357" i="3"/>
  <c r="N357" i="3"/>
  <c r="K357" i="3"/>
  <c r="K419" i="3"/>
  <c r="H419" i="3"/>
  <c r="Q419" i="3"/>
  <c r="T419" i="3"/>
  <c r="N419" i="3"/>
  <c r="G83" i="3"/>
  <c r="W83" i="3" s="1"/>
  <c r="G141" i="3"/>
  <c r="W141" i="3" s="1"/>
  <c r="G188" i="3"/>
  <c r="W188" i="3" s="1"/>
  <c r="G342" i="3"/>
  <c r="W342" i="3" s="1"/>
  <c r="G373" i="3"/>
  <c r="W373" i="3" s="1"/>
  <c r="N14" i="3"/>
  <c r="Q9" i="3"/>
  <c r="H9" i="3"/>
  <c r="I9" i="3" s="1"/>
  <c r="J9" i="3" s="1"/>
  <c r="K9" i="3"/>
  <c r="N9" i="3"/>
  <c r="T9" i="3"/>
  <c r="H64" i="3"/>
  <c r="T64" i="3"/>
  <c r="K64" i="3"/>
  <c r="Q64" i="3"/>
  <c r="N64" i="3"/>
  <c r="T63" i="3"/>
  <c r="Q63" i="3"/>
  <c r="N63" i="3"/>
  <c r="K63" i="3"/>
  <c r="H63" i="3"/>
  <c r="H127" i="3"/>
  <c r="Q127" i="3"/>
  <c r="T127" i="3"/>
  <c r="N127" i="3"/>
  <c r="K127" i="3"/>
  <c r="N185" i="3"/>
  <c r="K185" i="3"/>
  <c r="T185" i="3"/>
  <c r="Q185" i="3"/>
  <c r="H185" i="3"/>
  <c r="W185" i="3"/>
  <c r="H137" i="3"/>
  <c r="Q137" i="3"/>
  <c r="T137" i="3"/>
  <c r="N137" i="3"/>
  <c r="K137" i="3"/>
  <c r="N175" i="3"/>
  <c r="K175" i="3"/>
  <c r="T175" i="3"/>
  <c r="Q175" i="3"/>
  <c r="H175" i="3"/>
  <c r="N167" i="3"/>
  <c r="K167" i="3"/>
  <c r="T167" i="3"/>
  <c r="Q167" i="3"/>
  <c r="H167" i="3"/>
  <c r="W156" i="3"/>
  <c r="Q156" i="3"/>
  <c r="T156" i="3"/>
  <c r="N156" i="3"/>
  <c r="K156" i="3"/>
  <c r="H156" i="3"/>
  <c r="T188" i="3"/>
  <c r="Q188" i="3"/>
  <c r="N188" i="3"/>
  <c r="K188" i="3"/>
  <c r="H188" i="3"/>
  <c r="H412" i="3"/>
  <c r="W412" i="3"/>
  <c r="N412" i="3"/>
  <c r="K412" i="3"/>
  <c r="T412" i="3"/>
  <c r="Q412" i="3"/>
  <c r="Q206" i="3"/>
  <c r="N206" i="3"/>
  <c r="K206" i="3"/>
  <c r="T206" i="3"/>
  <c r="H206" i="3"/>
  <c r="T238" i="3"/>
  <c r="Q238" i="3"/>
  <c r="N238" i="3"/>
  <c r="K238" i="3"/>
  <c r="W238" i="3"/>
  <c r="H238" i="3"/>
  <c r="W252" i="3"/>
  <c r="T252" i="3"/>
  <c r="Q252" i="3"/>
  <c r="K252" i="3"/>
  <c r="H252" i="3"/>
  <c r="N252" i="3"/>
  <c r="H280" i="3"/>
  <c r="K280" i="3"/>
  <c r="Q280" i="3"/>
  <c r="N280" i="3"/>
  <c r="T280" i="3"/>
  <c r="T349" i="3"/>
  <c r="K349" i="3"/>
  <c r="H349" i="3"/>
  <c r="N349" i="3"/>
  <c r="Q349" i="3"/>
  <c r="Q281" i="3"/>
  <c r="T281" i="3"/>
  <c r="N281" i="3"/>
  <c r="K281" i="3"/>
  <c r="H281" i="3"/>
  <c r="H360" i="3"/>
  <c r="Q360" i="3"/>
  <c r="N360" i="3"/>
  <c r="T360" i="3"/>
  <c r="K360" i="3"/>
  <c r="H408" i="3"/>
  <c r="W408" i="3"/>
  <c r="T408" i="3"/>
  <c r="Q408" i="3"/>
  <c r="N408" i="3"/>
  <c r="K408" i="3"/>
  <c r="H402" i="3"/>
  <c r="K402" i="3"/>
  <c r="T402" i="3"/>
  <c r="Q402" i="3"/>
  <c r="N402" i="3"/>
  <c r="H398" i="3"/>
  <c r="T398" i="3"/>
  <c r="K398" i="3"/>
  <c r="Q398" i="3"/>
  <c r="N398" i="3"/>
  <c r="Q393" i="3"/>
  <c r="T393" i="3"/>
  <c r="N393" i="3"/>
  <c r="K393" i="3"/>
  <c r="H393" i="3"/>
  <c r="Q199" i="3"/>
  <c r="Q3" i="3"/>
  <c r="N3" i="3"/>
  <c r="G119" i="3"/>
  <c r="T42" i="3"/>
  <c r="Q42" i="3"/>
  <c r="G5" i="3"/>
  <c r="W5" i="3" s="1"/>
  <c r="G19" i="3"/>
  <c r="W19" i="3" s="1"/>
  <c r="G138" i="3"/>
  <c r="W138" i="3" s="1"/>
  <c r="G102" i="3"/>
  <c r="W102" i="3" s="1"/>
  <c r="G67" i="3"/>
  <c r="W67" i="3" s="1"/>
  <c r="G111" i="3"/>
  <c r="W111" i="3" s="1"/>
  <c r="G78" i="3"/>
  <c r="W78" i="3" s="1"/>
  <c r="G219" i="3"/>
  <c r="W219" i="3" s="1"/>
  <c r="G195" i="3"/>
  <c r="W195" i="3" s="1"/>
  <c r="G213" i="3"/>
  <c r="W213" i="3" s="1"/>
  <c r="G231" i="3"/>
  <c r="W231" i="3" s="1"/>
  <c r="G218" i="3"/>
  <c r="W218" i="3" s="1"/>
  <c r="G162" i="3"/>
  <c r="W162" i="3" s="1"/>
  <c r="G250" i="3"/>
  <c r="W250" i="3" s="1"/>
  <c r="G287" i="3"/>
  <c r="W287" i="3" s="1"/>
  <c r="G328" i="3"/>
  <c r="W328" i="3" s="1"/>
  <c r="G335" i="3"/>
  <c r="W335" i="3" s="1"/>
  <c r="G321" i="3"/>
  <c r="W321" i="3" s="1"/>
  <c r="G320" i="3"/>
  <c r="W320" i="3" s="1"/>
  <c r="G383" i="3"/>
  <c r="W383" i="3" s="1"/>
  <c r="G393" i="3"/>
  <c r="W393" i="3" s="1"/>
  <c r="G397" i="3"/>
  <c r="W397" i="3" s="1"/>
  <c r="G398" i="3"/>
  <c r="W398" i="3" s="1"/>
  <c r="G77" i="3"/>
  <c r="W77" i="3" s="1"/>
  <c r="Q147" i="3"/>
  <c r="N56" i="3"/>
  <c r="T86" i="3"/>
  <c r="Q25" i="3"/>
  <c r="K40" i="3"/>
  <c r="K46" i="3"/>
  <c r="H46" i="3"/>
  <c r="T46" i="3"/>
  <c r="N46" i="3"/>
  <c r="Q46" i="3"/>
  <c r="Q103" i="3"/>
  <c r="N103" i="3"/>
  <c r="K103" i="3"/>
  <c r="H103" i="3"/>
  <c r="T103" i="3"/>
  <c r="Q162" i="3"/>
  <c r="N162" i="3"/>
  <c r="K162" i="3"/>
  <c r="H162" i="3"/>
  <c r="T162" i="3"/>
  <c r="K354" i="3"/>
  <c r="H354" i="3"/>
  <c r="Q354" i="3"/>
  <c r="N354" i="3"/>
  <c r="W354" i="3"/>
  <c r="T354" i="3"/>
  <c r="H358" i="3"/>
  <c r="T358" i="3"/>
  <c r="N358" i="3"/>
  <c r="Q358" i="3"/>
  <c r="K358" i="3"/>
  <c r="T44" i="3"/>
  <c r="Q44" i="3"/>
  <c r="N44" i="3"/>
  <c r="K44" i="3"/>
  <c r="H44" i="3"/>
  <c r="T164" i="3"/>
  <c r="Q164" i="3"/>
  <c r="N164" i="3"/>
  <c r="K164" i="3"/>
  <c r="H164" i="3"/>
  <c r="Q248" i="3"/>
  <c r="H248" i="3"/>
  <c r="T248" i="3"/>
  <c r="N248" i="3"/>
  <c r="K248" i="3"/>
  <c r="Q369" i="3"/>
  <c r="H369" i="3"/>
  <c r="K369" i="3"/>
  <c r="T369" i="3"/>
  <c r="N369" i="3"/>
  <c r="N107" i="3"/>
  <c r="K107" i="3"/>
  <c r="H107" i="3"/>
  <c r="Q107" i="3"/>
  <c r="T107" i="3"/>
  <c r="N94" i="3"/>
  <c r="H94" i="3"/>
  <c r="T94" i="3"/>
  <c r="K94" i="3"/>
  <c r="Q94" i="3"/>
  <c r="T120" i="3"/>
  <c r="Q120" i="3"/>
  <c r="N120" i="3"/>
  <c r="K120" i="3"/>
  <c r="H120" i="3"/>
  <c r="N211" i="3"/>
  <c r="T211" i="3"/>
  <c r="Q211" i="3"/>
  <c r="K211" i="3"/>
  <c r="H211" i="3"/>
  <c r="Q316" i="3"/>
  <c r="N316" i="3"/>
  <c r="K316" i="3"/>
  <c r="T316" i="3"/>
  <c r="W316" i="3"/>
  <c r="H316" i="3"/>
  <c r="H410" i="3"/>
  <c r="N410" i="3"/>
  <c r="K410" i="3"/>
  <c r="T410" i="3"/>
  <c r="Q410" i="3"/>
  <c r="T37" i="3"/>
  <c r="K157" i="3"/>
  <c r="T157" i="3"/>
  <c r="Q157" i="3"/>
  <c r="N157" i="3"/>
  <c r="H157" i="3"/>
  <c r="N322" i="3"/>
  <c r="H322" i="3"/>
  <c r="K322" i="3"/>
  <c r="T322" i="3"/>
  <c r="Q322" i="3"/>
  <c r="H24" i="3"/>
  <c r="T24" i="3"/>
  <c r="Q24" i="3"/>
  <c r="N24" i="3"/>
  <c r="K24" i="3"/>
  <c r="W172" i="3"/>
  <c r="T172" i="3"/>
  <c r="Q172" i="3"/>
  <c r="N172" i="3"/>
  <c r="K172" i="3"/>
  <c r="H172" i="3"/>
  <c r="Q297" i="3"/>
  <c r="T297" i="3"/>
  <c r="N297" i="3"/>
  <c r="K297" i="3"/>
  <c r="H297" i="3"/>
  <c r="Q134" i="3"/>
  <c r="N134" i="3"/>
  <c r="K134" i="3"/>
  <c r="T134" i="3"/>
  <c r="H134" i="3"/>
  <c r="H249" i="3"/>
  <c r="W249" i="3"/>
  <c r="T249" i="3"/>
  <c r="Q249" i="3"/>
  <c r="N249" i="3"/>
  <c r="K249" i="3"/>
  <c r="T342" i="3"/>
  <c r="Q342" i="3"/>
  <c r="N342" i="3"/>
  <c r="K342" i="3"/>
  <c r="H342" i="3"/>
  <c r="N47" i="3"/>
  <c r="K47" i="3"/>
  <c r="H47" i="3"/>
  <c r="T47" i="3"/>
  <c r="Q47" i="3"/>
  <c r="Q136" i="3"/>
  <c r="N136" i="3"/>
  <c r="K136" i="3"/>
  <c r="H136" i="3"/>
  <c r="T136" i="3"/>
  <c r="H414" i="3"/>
  <c r="K414" i="3"/>
  <c r="T414" i="3"/>
  <c r="Q414" i="3"/>
  <c r="N414" i="3"/>
  <c r="H121" i="3"/>
  <c r="W121" i="3"/>
  <c r="T121" i="3"/>
  <c r="Q121" i="3"/>
  <c r="N121" i="3"/>
  <c r="K121" i="3"/>
  <c r="Q140" i="3"/>
  <c r="N140" i="3"/>
  <c r="K140" i="3"/>
  <c r="H140" i="3"/>
  <c r="T140" i="3"/>
  <c r="T232" i="3"/>
  <c r="Q232" i="3"/>
  <c r="N232" i="3"/>
  <c r="K232" i="3"/>
  <c r="H232" i="3"/>
  <c r="H378" i="3"/>
  <c r="W378" i="3"/>
  <c r="K378" i="3"/>
  <c r="T378" i="3"/>
  <c r="N378" i="3"/>
  <c r="Q378" i="3"/>
  <c r="Q5" i="3"/>
  <c r="K5" i="3"/>
  <c r="G118" i="3"/>
  <c r="W118" i="3" s="1"/>
  <c r="G106" i="3"/>
  <c r="W106" i="3" s="1"/>
  <c r="G198" i="3"/>
  <c r="W198" i="3" s="1"/>
  <c r="G282" i="3"/>
  <c r="W282" i="3" s="1"/>
  <c r="G401" i="3"/>
  <c r="W401" i="3" s="1"/>
  <c r="T23" i="3"/>
  <c r="Q23" i="3"/>
  <c r="N23" i="3"/>
  <c r="W23" i="3"/>
  <c r="H23" i="3"/>
  <c r="K23" i="3"/>
  <c r="H95" i="3"/>
  <c r="K95" i="3"/>
  <c r="Q95" i="3"/>
  <c r="N95" i="3"/>
  <c r="W95" i="3"/>
  <c r="T95" i="3"/>
  <c r="T78" i="3"/>
  <c r="Q78" i="3"/>
  <c r="N78" i="3"/>
  <c r="K78" i="3"/>
  <c r="H78" i="3"/>
  <c r="T99" i="3"/>
  <c r="Q99" i="3"/>
  <c r="N99" i="3"/>
  <c r="K99" i="3"/>
  <c r="H99" i="3"/>
  <c r="Q71" i="3"/>
  <c r="N71" i="3"/>
  <c r="K71" i="3"/>
  <c r="W71" i="3"/>
  <c r="T71" i="3"/>
  <c r="H71" i="3"/>
  <c r="H139" i="3"/>
  <c r="W139" i="3"/>
  <c r="Q139" i="3"/>
  <c r="T139" i="3"/>
  <c r="N139" i="3"/>
  <c r="K139" i="3"/>
  <c r="N233" i="3"/>
  <c r="K233" i="3"/>
  <c r="T233" i="3"/>
  <c r="Q233" i="3"/>
  <c r="H233" i="3"/>
  <c r="N239" i="3"/>
  <c r="K239" i="3"/>
  <c r="T239" i="3"/>
  <c r="Q239" i="3"/>
  <c r="W239" i="3"/>
  <c r="H239" i="3"/>
  <c r="Q158" i="3"/>
  <c r="T158" i="3"/>
  <c r="N158" i="3"/>
  <c r="K158" i="3"/>
  <c r="H158" i="3"/>
  <c r="T190" i="3"/>
  <c r="Q190" i="3"/>
  <c r="N190" i="3"/>
  <c r="K190" i="3"/>
  <c r="H190" i="3"/>
  <c r="N241" i="3"/>
  <c r="K241" i="3"/>
  <c r="T241" i="3"/>
  <c r="Q241" i="3"/>
  <c r="H241" i="3"/>
  <c r="Q208" i="3"/>
  <c r="K208" i="3"/>
  <c r="H208" i="3"/>
  <c r="W208" i="3"/>
  <c r="T208" i="3"/>
  <c r="N208" i="3"/>
  <c r="T240" i="3"/>
  <c r="Q240" i="3"/>
  <c r="N240" i="3"/>
  <c r="K240" i="3"/>
  <c r="H240" i="3"/>
  <c r="N257" i="3"/>
  <c r="K257" i="3"/>
  <c r="H257" i="3"/>
  <c r="W257" i="3"/>
  <c r="T257" i="3"/>
  <c r="Q257" i="3"/>
  <c r="H308" i="3"/>
  <c r="T308" i="3"/>
  <c r="K308" i="3"/>
  <c r="Q308" i="3"/>
  <c r="N308" i="3"/>
  <c r="H296" i="3"/>
  <c r="W296" i="3"/>
  <c r="T296" i="3"/>
  <c r="Q296" i="3"/>
  <c r="N296" i="3"/>
  <c r="K296" i="3"/>
  <c r="Q283" i="3"/>
  <c r="H283" i="3"/>
  <c r="T283" i="3"/>
  <c r="N283" i="3"/>
  <c r="K283" i="3"/>
  <c r="H362" i="3"/>
  <c r="N362" i="3"/>
  <c r="K362" i="3"/>
  <c r="T362" i="3"/>
  <c r="Q362" i="3"/>
  <c r="T332" i="3"/>
  <c r="Q332" i="3"/>
  <c r="K332" i="3"/>
  <c r="H332" i="3"/>
  <c r="W332" i="3"/>
  <c r="N332" i="3"/>
  <c r="H380" i="3"/>
  <c r="K380" i="3"/>
  <c r="T380" i="3"/>
  <c r="Q380" i="3"/>
  <c r="N380" i="3"/>
  <c r="H406" i="3"/>
  <c r="T406" i="3"/>
  <c r="Q406" i="3"/>
  <c r="K406" i="3"/>
  <c r="N406" i="3"/>
  <c r="Q395" i="3"/>
  <c r="H395" i="3"/>
  <c r="T395" i="3"/>
  <c r="N395" i="3"/>
  <c r="K395" i="3"/>
  <c r="N41" i="3"/>
  <c r="T69" i="3"/>
  <c r="K34" i="3"/>
  <c r="K42" i="3"/>
  <c r="Q50" i="3"/>
  <c r="K51" i="3"/>
  <c r="G26" i="3"/>
  <c r="W26" i="3" s="1"/>
  <c r="G42" i="3"/>
  <c r="W42" i="3" s="1"/>
  <c r="G31" i="3"/>
  <c r="W31" i="3" s="1"/>
  <c r="G103" i="3"/>
  <c r="W103" i="3" s="1"/>
  <c r="G86" i="3"/>
  <c r="W86" i="3" s="1"/>
  <c r="G127" i="3"/>
  <c r="W127" i="3" s="1"/>
  <c r="G94" i="3"/>
  <c r="W94" i="3" s="1"/>
  <c r="G235" i="3"/>
  <c r="W235" i="3" s="1"/>
  <c r="G241" i="3"/>
  <c r="W241" i="3" s="1"/>
  <c r="G214" i="3"/>
  <c r="W214" i="3" s="1"/>
  <c r="G243" i="3"/>
  <c r="W243" i="3" s="1"/>
  <c r="G225" i="3"/>
  <c r="W225" i="3" s="1"/>
  <c r="G164" i="3"/>
  <c r="W164" i="3" s="1"/>
  <c r="G255" i="3"/>
  <c r="W255" i="3" s="1"/>
  <c r="G292" i="3"/>
  <c r="W292" i="3" s="1"/>
  <c r="G269" i="3"/>
  <c r="W269" i="3" s="1"/>
  <c r="G340" i="3"/>
  <c r="W340" i="3" s="1"/>
  <c r="G318" i="3"/>
  <c r="W318" i="3" s="1"/>
  <c r="G325" i="3"/>
  <c r="W325" i="3" s="1"/>
  <c r="G329" i="3"/>
  <c r="W329" i="3" s="1"/>
  <c r="G419" i="3"/>
  <c r="W419" i="3" s="1"/>
  <c r="G405" i="3"/>
  <c r="W405" i="3" s="1"/>
  <c r="G400" i="3"/>
  <c r="W400" i="3" s="1"/>
  <c r="Q56" i="3"/>
  <c r="T25" i="3"/>
  <c r="N40" i="3"/>
  <c r="I5" i="3"/>
  <c r="J5" i="3" s="1"/>
  <c r="H143" i="3"/>
  <c r="Q143" i="3"/>
  <c r="T143" i="3"/>
  <c r="N143" i="3"/>
  <c r="K143" i="3"/>
  <c r="K271" i="3"/>
  <c r="Q271" i="3"/>
  <c r="N271" i="3"/>
  <c r="T271" i="3"/>
  <c r="H271" i="3"/>
  <c r="Q313" i="3"/>
  <c r="T313" i="3"/>
  <c r="N313" i="3"/>
  <c r="K313" i="3"/>
  <c r="H313" i="3"/>
  <c r="H145" i="3"/>
  <c r="Q145" i="3"/>
  <c r="T145" i="3"/>
  <c r="K145" i="3"/>
  <c r="N145" i="3"/>
  <c r="N324" i="3"/>
  <c r="T324" i="3"/>
  <c r="Q324" i="3"/>
  <c r="K324" i="3"/>
  <c r="H324" i="3"/>
  <c r="Q59" i="3"/>
  <c r="N59" i="3"/>
  <c r="K59" i="3"/>
  <c r="H59" i="3"/>
  <c r="T59" i="3"/>
  <c r="N205" i="3"/>
  <c r="T205" i="3"/>
  <c r="Q205" i="3"/>
  <c r="W205" i="3"/>
  <c r="K205" i="3"/>
  <c r="H205" i="3"/>
  <c r="T368" i="3"/>
  <c r="Q368" i="3"/>
  <c r="H368" i="3"/>
  <c r="K368" i="3"/>
  <c r="N368" i="3"/>
  <c r="Q22" i="3"/>
  <c r="N22" i="3"/>
  <c r="K22" i="3"/>
  <c r="T22" i="3"/>
  <c r="H22" i="3"/>
  <c r="W168" i="3"/>
  <c r="T168" i="3"/>
  <c r="Q168" i="3"/>
  <c r="H168" i="3"/>
  <c r="K168" i="3"/>
  <c r="N168" i="3"/>
  <c r="T21" i="3"/>
  <c r="Q21" i="3"/>
  <c r="K163" i="3"/>
  <c r="Q163" i="3"/>
  <c r="N163" i="3"/>
  <c r="H163" i="3"/>
  <c r="T163" i="3"/>
  <c r="W163" i="3"/>
  <c r="N21" i="3"/>
  <c r="H254" i="3"/>
  <c r="Q254" i="3"/>
  <c r="N254" i="3"/>
  <c r="T254" i="3"/>
  <c r="K254" i="3"/>
  <c r="T80" i="3"/>
  <c r="Q80" i="3"/>
  <c r="N80" i="3"/>
  <c r="N53" i="3"/>
  <c r="T53" i="3"/>
  <c r="Q53" i="3"/>
  <c r="K53" i="3"/>
  <c r="H53" i="3"/>
  <c r="T125" i="3"/>
  <c r="Q125" i="3"/>
  <c r="K125" i="3"/>
  <c r="N125" i="3"/>
  <c r="H125" i="3"/>
  <c r="H312" i="3"/>
  <c r="W312" i="3"/>
  <c r="T312" i="3"/>
  <c r="Q312" i="3"/>
  <c r="N312" i="3"/>
  <c r="K312" i="3"/>
  <c r="Q226" i="3"/>
  <c r="H226" i="3"/>
  <c r="W226" i="3"/>
  <c r="N226" i="3"/>
  <c r="T226" i="3"/>
  <c r="K226" i="3"/>
  <c r="Q260" i="3"/>
  <c r="N260" i="3"/>
  <c r="K260" i="3"/>
  <c r="H260" i="3"/>
  <c r="T260" i="3"/>
  <c r="T327" i="3"/>
  <c r="Q327" i="3"/>
  <c r="H327" i="3"/>
  <c r="N327" i="3"/>
  <c r="K327" i="3"/>
  <c r="H413" i="3"/>
  <c r="Q413" i="3"/>
  <c r="K413" i="3"/>
  <c r="N413" i="3"/>
  <c r="T413" i="3"/>
  <c r="N13" i="3"/>
  <c r="Q13" i="3"/>
  <c r="N81" i="3"/>
  <c r="T81" i="3"/>
  <c r="Q81" i="3"/>
  <c r="K81" i="3"/>
  <c r="H81" i="3"/>
  <c r="T195" i="3"/>
  <c r="Q195" i="3"/>
  <c r="K195" i="3"/>
  <c r="H195" i="3"/>
  <c r="N195" i="3"/>
  <c r="T334" i="3"/>
  <c r="Q334" i="3"/>
  <c r="H334" i="3"/>
  <c r="N334" i="3"/>
  <c r="K334" i="3"/>
  <c r="T110" i="3"/>
  <c r="N110" i="3"/>
  <c r="H110" i="3"/>
  <c r="K110" i="3"/>
  <c r="Q110" i="3"/>
  <c r="W150" i="3"/>
  <c r="Q150" i="3"/>
  <c r="H150" i="3"/>
  <c r="T150" i="3"/>
  <c r="N150" i="3"/>
  <c r="K150" i="3"/>
  <c r="N356" i="3"/>
  <c r="K356" i="3"/>
  <c r="T356" i="3"/>
  <c r="Q356" i="3"/>
  <c r="H356" i="3"/>
  <c r="T348" i="3"/>
  <c r="Q348" i="3"/>
  <c r="N348" i="3"/>
  <c r="K348" i="3"/>
  <c r="W348" i="3"/>
  <c r="H348" i="3"/>
  <c r="N5" i="3"/>
  <c r="G105" i="3"/>
  <c r="W105" i="3" s="1"/>
  <c r="G209" i="3"/>
  <c r="W209" i="3" s="1"/>
  <c r="G417" i="3"/>
  <c r="W417" i="3" s="1"/>
  <c r="G369" i="3"/>
  <c r="W369" i="3" s="1"/>
  <c r="K128" i="3"/>
  <c r="H128" i="3"/>
  <c r="T128" i="3"/>
  <c r="Q128" i="3"/>
  <c r="N128" i="3"/>
  <c r="K74" i="3"/>
  <c r="N74" i="3"/>
  <c r="H74" i="3"/>
  <c r="T74" i="3"/>
  <c r="Q74" i="3"/>
  <c r="H100" i="3"/>
  <c r="W100" i="3"/>
  <c r="T100" i="3"/>
  <c r="N100" i="3"/>
  <c r="K100" i="3"/>
  <c r="Q100" i="3"/>
  <c r="H116" i="3"/>
  <c r="T116" i="3"/>
  <c r="Q116" i="3"/>
  <c r="N116" i="3"/>
  <c r="K116" i="3"/>
  <c r="T115" i="3"/>
  <c r="Q115" i="3"/>
  <c r="H115" i="3"/>
  <c r="K115" i="3"/>
  <c r="N115" i="3"/>
  <c r="Q87" i="3"/>
  <c r="N87" i="3"/>
  <c r="T87" i="3"/>
  <c r="K87" i="3"/>
  <c r="H87" i="3"/>
  <c r="H141" i="3"/>
  <c r="Q141" i="3"/>
  <c r="T141" i="3"/>
  <c r="N141" i="3"/>
  <c r="K141" i="3"/>
  <c r="N244" i="3"/>
  <c r="K244" i="3"/>
  <c r="Q244" i="3"/>
  <c r="H244" i="3"/>
  <c r="W244" i="3"/>
  <c r="T244" i="3"/>
  <c r="K256" i="3"/>
  <c r="H256" i="3"/>
  <c r="Q256" i="3"/>
  <c r="N256" i="3"/>
  <c r="T256" i="3"/>
  <c r="W256" i="3"/>
  <c r="Q160" i="3"/>
  <c r="T160" i="3"/>
  <c r="N160" i="3"/>
  <c r="K160" i="3"/>
  <c r="H160" i="3"/>
  <c r="T197" i="3"/>
  <c r="N197" i="3"/>
  <c r="Q197" i="3"/>
  <c r="K197" i="3"/>
  <c r="H197" i="3"/>
  <c r="T245" i="3"/>
  <c r="K245" i="3"/>
  <c r="H245" i="3"/>
  <c r="Q245" i="3"/>
  <c r="N245" i="3"/>
  <c r="Q210" i="3"/>
  <c r="H210" i="3"/>
  <c r="N210" i="3"/>
  <c r="T210" i="3"/>
  <c r="K210" i="3"/>
  <c r="T242" i="3"/>
  <c r="Q242" i="3"/>
  <c r="H242" i="3"/>
  <c r="W242" i="3"/>
  <c r="N242" i="3"/>
  <c r="K242" i="3"/>
  <c r="K286" i="3"/>
  <c r="H286" i="3"/>
  <c r="T286" i="3"/>
  <c r="N286" i="3"/>
  <c r="Q286" i="3"/>
  <c r="K345" i="3"/>
  <c r="H345" i="3"/>
  <c r="Q345" i="3"/>
  <c r="N345" i="3"/>
  <c r="T345" i="3"/>
  <c r="W345" i="3"/>
  <c r="N333" i="3"/>
  <c r="K333" i="3"/>
  <c r="H333" i="3"/>
  <c r="Q333" i="3"/>
  <c r="T333" i="3"/>
  <c r="Q285" i="3"/>
  <c r="N285" i="3"/>
  <c r="K285" i="3"/>
  <c r="H285" i="3"/>
  <c r="T285" i="3"/>
  <c r="W285" i="3"/>
  <c r="H400" i="3"/>
  <c r="T400" i="3"/>
  <c r="Q400" i="3"/>
  <c r="N400" i="3"/>
  <c r="K400" i="3"/>
  <c r="Q366" i="3"/>
  <c r="N366" i="3"/>
  <c r="T366" i="3"/>
  <c r="H366" i="3"/>
  <c r="K366" i="3"/>
  <c r="H416" i="3"/>
  <c r="N416" i="3"/>
  <c r="K416" i="3"/>
  <c r="T416" i="3"/>
  <c r="Q416" i="3"/>
  <c r="Q365" i="3"/>
  <c r="T365" i="3"/>
  <c r="H365" i="3"/>
  <c r="N365" i="3"/>
  <c r="K365" i="3"/>
  <c r="Q397" i="3"/>
  <c r="H397" i="3"/>
  <c r="T397" i="3"/>
  <c r="N397" i="3"/>
  <c r="K397" i="3"/>
  <c r="Q41" i="3"/>
  <c r="N69" i="3"/>
  <c r="G93" i="3"/>
  <c r="W93" i="3" s="1"/>
  <c r="N42" i="3"/>
  <c r="Q2" i="3"/>
  <c r="N2" i="3"/>
  <c r="K2" i="3"/>
  <c r="T2" i="3"/>
  <c r="G33" i="3"/>
  <c r="W33" i="3" s="1"/>
  <c r="G59" i="3"/>
  <c r="W59" i="3" s="1"/>
  <c r="G47" i="3"/>
  <c r="W47" i="3" s="1"/>
  <c r="G56" i="3"/>
  <c r="W56" i="3" s="1"/>
  <c r="G114" i="3"/>
  <c r="W114" i="3" s="1"/>
  <c r="G136" i="3"/>
  <c r="W136" i="3" s="1"/>
  <c r="G110" i="3"/>
  <c r="W110" i="3" s="1"/>
  <c r="G163" i="3"/>
  <c r="G149" i="3"/>
  <c r="W149" i="3" s="1"/>
  <c r="G221" i="3"/>
  <c r="W221" i="3" s="1"/>
  <c r="G251" i="3"/>
  <c r="W251" i="3" s="1"/>
  <c r="G226" i="3"/>
  <c r="G166" i="3"/>
  <c r="W166" i="3" s="1"/>
  <c r="G260" i="3"/>
  <c r="W260" i="3" s="1"/>
  <c r="G303" i="3"/>
  <c r="W303" i="3" s="1"/>
  <c r="G271" i="3"/>
  <c r="W271" i="3" s="1"/>
  <c r="G280" i="3"/>
  <c r="W280" i="3" s="1"/>
  <c r="G323" i="3"/>
  <c r="W323" i="3" s="1"/>
  <c r="G339" i="3"/>
  <c r="W339" i="3" s="1"/>
  <c r="G399" i="3"/>
  <c r="W399" i="3" s="1"/>
  <c r="G358" i="3"/>
  <c r="W358" i="3" s="1"/>
  <c r="G365" i="3"/>
  <c r="W365" i="3" s="1"/>
  <c r="G402" i="3"/>
  <c r="W402" i="3" s="1"/>
  <c r="T58" i="3"/>
  <c r="U11" i="3" l="1"/>
  <c r="R3" i="3"/>
  <c r="U4" i="3"/>
  <c r="R9" i="3"/>
  <c r="S9" i="3" s="1"/>
  <c r="O21" i="3"/>
  <c r="P21" i="3" s="1"/>
  <c r="L50" i="3"/>
  <c r="M50" i="3" s="1"/>
  <c r="L85" i="3"/>
  <c r="U308" i="3"/>
  <c r="L331" i="3"/>
  <c r="M331" i="3" s="1"/>
  <c r="O85" i="3"/>
  <c r="P85" i="3" s="1"/>
  <c r="R91" i="3"/>
  <c r="S91" i="3" s="1"/>
  <c r="U42" i="3"/>
  <c r="V42" i="3" s="1"/>
  <c r="I53" i="3"/>
  <c r="J53" i="3" s="1"/>
  <c r="U398" i="3"/>
  <c r="V398" i="3" s="1"/>
  <c r="U280" i="3"/>
  <c r="V280" i="3" s="1"/>
  <c r="O226" i="3"/>
  <c r="P226" i="3" s="1"/>
  <c r="L17" i="3"/>
  <c r="M17" i="3" s="1"/>
  <c r="I13" i="3"/>
  <c r="J13" i="3" s="1"/>
  <c r="R25" i="3"/>
  <c r="S25" i="3" s="1"/>
  <c r="O6" i="3"/>
  <c r="P6" i="3" s="1"/>
  <c r="R41" i="3"/>
  <c r="S41" i="3" s="1"/>
  <c r="U9" i="3"/>
  <c r="L184" i="3"/>
  <c r="M184" i="3" s="1"/>
  <c r="O86" i="3"/>
  <c r="P86" i="3" s="1"/>
  <c r="U3" i="3"/>
  <c r="O128" i="3"/>
  <c r="P128" i="3" s="1"/>
  <c r="L348" i="3"/>
  <c r="M348" i="3" s="1"/>
  <c r="U410" i="3"/>
  <c r="V410" i="3" s="1"/>
  <c r="O101" i="3"/>
  <c r="P101" i="3" s="1"/>
  <c r="I22" i="3"/>
  <c r="J22" i="3" s="1"/>
  <c r="O58" i="3"/>
  <c r="P58" i="3" s="1"/>
  <c r="R18" i="3"/>
  <c r="S18" i="3" s="1"/>
  <c r="X5" i="3"/>
  <c r="X251" i="3"/>
  <c r="X86" i="3"/>
  <c r="X69" i="3"/>
  <c r="X94" i="3"/>
  <c r="X50" i="3"/>
  <c r="X31" i="3"/>
  <c r="X15" i="3"/>
  <c r="X409" i="3"/>
  <c r="X184" i="3"/>
  <c r="X400" i="3"/>
  <c r="X106" i="3"/>
  <c r="X110" i="3"/>
  <c r="X19" i="3"/>
  <c r="X335" i="3"/>
  <c r="X269" i="3"/>
  <c r="X328" i="3"/>
  <c r="X91" i="3"/>
  <c r="X411" i="3"/>
  <c r="X44" i="3"/>
  <c r="X123" i="3"/>
  <c r="X173" i="3"/>
  <c r="X307" i="3"/>
  <c r="X204" i="3"/>
  <c r="X334" i="3"/>
  <c r="X162" i="3"/>
  <c r="X329" i="3"/>
  <c r="X2" i="3"/>
  <c r="X132" i="3"/>
  <c r="X161" i="3"/>
  <c r="X13" i="3"/>
  <c r="X79" i="3"/>
  <c r="X68" i="3"/>
  <c r="X25" i="3"/>
  <c r="X199" i="3"/>
  <c r="X299" i="3"/>
  <c r="X349" i="3"/>
  <c r="X401" i="3"/>
  <c r="X215" i="3"/>
  <c r="X102" i="3"/>
  <c r="X220" i="3"/>
  <c r="X346" i="3"/>
  <c r="X103" i="3"/>
  <c r="X375" i="3"/>
  <c r="X320" i="3"/>
  <c r="X114" i="3"/>
  <c r="X381" i="3"/>
  <c r="X303" i="3"/>
  <c r="X260" i="3"/>
  <c r="X166" i="3"/>
  <c r="X213" i="3"/>
  <c r="X190" i="3"/>
  <c r="X416" i="3"/>
  <c r="R413" i="3"/>
  <c r="S413" i="3" s="1"/>
  <c r="R380" i="3"/>
  <c r="S380" i="3" s="1"/>
  <c r="U195" i="3"/>
  <c r="V195" i="3" s="1"/>
  <c r="I81" i="3"/>
  <c r="J81" i="3" s="1"/>
  <c r="I266" i="3"/>
  <c r="J266" i="3" s="1"/>
  <c r="I129" i="3"/>
  <c r="J129" i="3" s="1"/>
  <c r="O292" i="3"/>
  <c r="P292" i="3" s="1"/>
  <c r="L22" i="3"/>
  <c r="M22" i="3" s="1"/>
  <c r="O37" i="3"/>
  <c r="P37" i="3" s="1"/>
  <c r="R131" i="3"/>
  <c r="S131" i="3" s="1"/>
  <c r="R347" i="3"/>
  <c r="S347" i="3" s="1"/>
  <c r="U110" i="3"/>
  <c r="X378" i="3"/>
  <c r="I183" i="3"/>
  <c r="J183" i="3" s="1"/>
  <c r="X235" i="3"/>
  <c r="R354" i="3"/>
  <c r="S354" i="3" s="1"/>
  <c r="X111" i="3"/>
  <c r="I333" i="3"/>
  <c r="J333" i="3" s="1"/>
  <c r="X81" i="3"/>
  <c r="R4" i="3"/>
  <c r="S4" i="3" s="1"/>
  <c r="U395" i="3"/>
  <c r="V395" i="3" s="1"/>
  <c r="X332" i="3"/>
  <c r="R283" i="3"/>
  <c r="S283" i="3" s="1"/>
  <c r="L257" i="3"/>
  <c r="U241" i="3"/>
  <c r="V241" i="3" s="1"/>
  <c r="I239" i="3"/>
  <c r="J239" i="3" s="1"/>
  <c r="X139" i="3"/>
  <c r="O78" i="3"/>
  <c r="P78" i="3" s="1"/>
  <c r="I232" i="3"/>
  <c r="J232" i="3" s="1"/>
  <c r="X121" i="3"/>
  <c r="I47" i="3"/>
  <c r="J47" i="3" s="1"/>
  <c r="X249" i="3"/>
  <c r="L172" i="3"/>
  <c r="I322" i="3"/>
  <c r="J322" i="3" s="1"/>
  <c r="X316" i="3"/>
  <c r="U120" i="3"/>
  <c r="V120" i="3" s="1"/>
  <c r="U369" i="3"/>
  <c r="V369" i="3" s="1"/>
  <c r="I44" i="3"/>
  <c r="J44" i="3" s="1"/>
  <c r="I354" i="3"/>
  <c r="J354" i="3" s="1"/>
  <c r="U46" i="3"/>
  <c r="V46" i="3" s="1"/>
  <c r="I52" i="3"/>
  <c r="U137" i="3"/>
  <c r="V137" i="3" s="1"/>
  <c r="L63" i="3"/>
  <c r="M63" i="3" s="1"/>
  <c r="I419" i="3"/>
  <c r="J419" i="3" s="1"/>
  <c r="O288" i="3"/>
  <c r="P288" i="3" s="1"/>
  <c r="X92" i="3"/>
  <c r="L194" i="3"/>
  <c r="U246" i="3"/>
  <c r="V246" i="3" s="1"/>
  <c r="I405" i="3"/>
  <c r="J405" i="3" s="1"/>
  <c r="O218" i="3"/>
  <c r="P218" i="3" s="1"/>
  <c r="L93" i="3"/>
  <c r="M93" i="3" s="1"/>
  <c r="O376" i="3"/>
  <c r="P376" i="3" s="1"/>
  <c r="X212" i="3"/>
  <c r="O61" i="3"/>
  <c r="P61" i="3" s="1"/>
  <c r="L391" i="3"/>
  <c r="M391" i="3" s="1"/>
  <c r="X384" i="3"/>
  <c r="X279" i="3"/>
  <c r="I275" i="3"/>
  <c r="J275" i="3" s="1"/>
  <c r="U154" i="3"/>
  <c r="V154" i="3" s="1"/>
  <c r="U135" i="3"/>
  <c r="I111" i="3"/>
  <c r="J111" i="3" s="1"/>
  <c r="L77" i="3"/>
  <c r="M77" i="3" s="1"/>
  <c r="U314" i="3"/>
  <c r="V314" i="3" s="1"/>
  <c r="X178" i="3"/>
  <c r="I105" i="3"/>
  <c r="J105" i="3" s="1"/>
  <c r="R76" i="3"/>
  <c r="S76" i="3" s="1"/>
  <c r="O247" i="3"/>
  <c r="P247" i="3" s="1"/>
  <c r="U51" i="3"/>
  <c r="V51" i="3" s="1"/>
  <c r="O355" i="3"/>
  <c r="P355" i="3" s="1"/>
  <c r="U352" i="3"/>
  <c r="V352" i="3" s="1"/>
  <c r="I31" i="3"/>
  <c r="J31" i="3" s="1"/>
  <c r="U228" i="3"/>
  <c r="V228" i="3" s="1"/>
  <c r="L409" i="3"/>
  <c r="M409" i="3" s="1"/>
  <c r="X388" i="3"/>
  <c r="O250" i="3"/>
  <c r="P250" i="3" s="1"/>
  <c r="U201" i="3"/>
  <c r="V201" i="3" s="1"/>
  <c r="X96" i="3"/>
  <c r="L353" i="3"/>
  <c r="M353" i="3" s="1"/>
  <c r="O262" i="3"/>
  <c r="P262" i="3" s="1"/>
  <c r="L263" i="3"/>
  <c r="X10" i="3"/>
  <c r="L117" i="3"/>
  <c r="X367" i="3"/>
  <c r="R417" i="3"/>
  <c r="S417" i="3" s="1"/>
  <c r="L329" i="3"/>
  <c r="M329" i="3" s="1"/>
  <c r="X277" i="3"/>
  <c r="L198" i="3"/>
  <c r="M198" i="3" s="1"/>
  <c r="L148" i="3"/>
  <c r="X35" i="3"/>
  <c r="L415" i="3"/>
  <c r="M415" i="3" s="1"/>
  <c r="O265" i="3"/>
  <c r="P265" i="3" s="1"/>
  <c r="O304" i="3"/>
  <c r="P304" i="3" s="1"/>
  <c r="I338" i="3"/>
  <c r="J338" i="3" s="1"/>
  <c r="R108" i="3"/>
  <c r="S108" i="3" s="1"/>
  <c r="O149" i="3"/>
  <c r="P149" i="3" s="1"/>
  <c r="L319" i="3"/>
  <c r="M319" i="3" s="1"/>
  <c r="X72" i="3"/>
  <c r="X352" i="3"/>
  <c r="X64" i="3"/>
  <c r="U62" i="3"/>
  <c r="L21" i="3"/>
  <c r="I164" i="3"/>
  <c r="J164" i="3" s="1"/>
  <c r="X358" i="3"/>
  <c r="O360" i="3"/>
  <c r="P360" i="3" s="1"/>
  <c r="O188" i="3"/>
  <c r="P188" i="3" s="1"/>
  <c r="X359" i="3"/>
  <c r="R264" i="3"/>
  <c r="S264" i="3" s="1"/>
  <c r="U284" i="3"/>
  <c r="X191" i="3"/>
  <c r="O305" i="3"/>
  <c r="P305" i="3" s="1"/>
  <c r="I170" i="3"/>
  <c r="J170" i="3" s="1"/>
  <c r="U302" i="3"/>
  <c r="V302" i="3" s="1"/>
  <c r="R128" i="3"/>
  <c r="S128" i="3" s="1"/>
  <c r="L145" i="3"/>
  <c r="M145" i="3" s="1"/>
  <c r="I57" i="3"/>
  <c r="J57" i="3" s="1"/>
  <c r="L103" i="3"/>
  <c r="M103" i="3" s="1"/>
  <c r="R188" i="3"/>
  <c r="S188" i="3" s="1"/>
  <c r="I372" i="3"/>
  <c r="J372" i="3" s="1"/>
  <c r="L178" i="3"/>
  <c r="X129" i="3"/>
  <c r="X76" i="3"/>
  <c r="R234" i="3"/>
  <c r="S234" i="3" s="1"/>
  <c r="R173" i="3"/>
  <c r="S173" i="3" s="1"/>
  <c r="X224" i="3"/>
  <c r="O84" i="3"/>
  <c r="P84" i="3" s="1"/>
  <c r="X152" i="3"/>
  <c r="I225" i="3"/>
  <c r="J225" i="3" s="1"/>
  <c r="U36" i="3"/>
  <c r="O164" i="3"/>
  <c r="P164" i="3" s="1"/>
  <c r="U127" i="3"/>
  <c r="V127" i="3" s="1"/>
  <c r="X37" i="3"/>
  <c r="X331" i="3"/>
  <c r="O311" i="3"/>
  <c r="P311" i="3" s="1"/>
  <c r="U359" i="3"/>
  <c r="V359" i="3" s="1"/>
  <c r="I76" i="3"/>
  <c r="J76" i="3" s="1"/>
  <c r="R184" i="3"/>
  <c r="S184" i="3" s="1"/>
  <c r="X227" i="3"/>
  <c r="X16" i="3"/>
  <c r="U180" i="3"/>
  <c r="V180" i="3" s="1"/>
  <c r="L193" i="3"/>
  <c r="X133" i="3"/>
  <c r="L286" i="3"/>
  <c r="M286" i="3" s="1"/>
  <c r="X116" i="3"/>
  <c r="R226" i="3"/>
  <c r="S226" i="3" s="1"/>
  <c r="O143" i="3"/>
  <c r="P143" i="3" s="1"/>
  <c r="L378" i="3"/>
  <c r="M378" i="3" s="1"/>
  <c r="U86" i="3"/>
  <c r="V86" i="3" s="1"/>
  <c r="X57" i="3"/>
  <c r="U70" i="3"/>
  <c r="V70" i="3" s="1"/>
  <c r="O153" i="3"/>
  <c r="P153" i="3" s="1"/>
  <c r="L105" i="3"/>
  <c r="M105" i="3" s="1"/>
  <c r="U401" i="3"/>
  <c r="V401" i="3" s="1"/>
  <c r="X180" i="3"/>
  <c r="L341" i="3"/>
  <c r="M341" i="3" s="1"/>
  <c r="O295" i="3"/>
  <c r="P295" i="3" s="1"/>
  <c r="I87" i="3"/>
  <c r="J87" i="3" s="1"/>
  <c r="U59" i="3"/>
  <c r="X283" i="3"/>
  <c r="R23" i="3"/>
  <c r="S23" i="3" s="1"/>
  <c r="U164" i="3"/>
  <c r="V164" i="3" s="1"/>
  <c r="X66" i="3"/>
  <c r="X70" i="3"/>
  <c r="R178" i="3"/>
  <c r="S178" i="3" s="1"/>
  <c r="U67" i="3"/>
  <c r="V67" i="3" s="1"/>
  <c r="L161" i="3"/>
  <c r="L173" i="3"/>
  <c r="M173" i="3" s="1"/>
  <c r="X177" i="3"/>
  <c r="I198" i="3"/>
  <c r="J198" i="3" s="1"/>
  <c r="O113" i="3"/>
  <c r="P113" i="3" s="1"/>
  <c r="L379" i="3"/>
  <c r="M379" i="3" s="1"/>
  <c r="X323" i="3"/>
  <c r="L128" i="3"/>
  <c r="M128" i="3" s="1"/>
  <c r="R22" i="3"/>
  <c r="S22" i="3" s="1"/>
  <c r="I283" i="3"/>
  <c r="J283" i="3" s="1"/>
  <c r="U121" i="3"/>
  <c r="V121" i="3" s="1"/>
  <c r="U402" i="3"/>
  <c r="V402" i="3" s="1"/>
  <c r="X419" i="3"/>
  <c r="X146" i="3"/>
  <c r="R246" i="3"/>
  <c r="S246" i="3" s="1"/>
  <c r="O154" i="3"/>
  <c r="P154" i="3" s="1"/>
  <c r="L294" i="3"/>
  <c r="M294" i="3" s="1"/>
  <c r="I152" i="3"/>
  <c r="J152" i="3" s="1"/>
  <c r="R228" i="3"/>
  <c r="S228" i="3" s="1"/>
  <c r="R201" i="3"/>
  <c r="S201" i="3" s="1"/>
  <c r="R305" i="3"/>
  <c r="S305" i="3" s="1"/>
  <c r="L304" i="3"/>
  <c r="M304" i="3" s="1"/>
  <c r="I319" i="3"/>
  <c r="J319" i="3" s="1"/>
  <c r="O379" i="3"/>
  <c r="P379" i="3" s="1"/>
  <c r="I197" i="3"/>
  <c r="J197" i="3" s="1"/>
  <c r="U14" i="3"/>
  <c r="V14" i="3" s="1"/>
  <c r="O365" i="3"/>
  <c r="P365" i="3" s="1"/>
  <c r="I65" i="3"/>
  <c r="J65" i="3" s="1"/>
  <c r="U316" i="3"/>
  <c r="R94" i="3"/>
  <c r="S94" i="3" s="1"/>
  <c r="L369" i="3"/>
  <c r="M369" i="3" s="1"/>
  <c r="L44" i="3"/>
  <c r="M44" i="3" s="1"/>
  <c r="X77" i="3"/>
  <c r="X219" i="3"/>
  <c r="R156" i="3"/>
  <c r="S156" i="3" s="1"/>
  <c r="R137" i="3"/>
  <c r="S137" i="3" s="1"/>
  <c r="O63" i="3"/>
  <c r="P63" i="3" s="1"/>
  <c r="L419" i="3"/>
  <c r="M419" i="3" s="1"/>
  <c r="U288" i="3"/>
  <c r="V288" i="3" s="1"/>
  <c r="X3" i="3"/>
  <c r="X8" i="3"/>
  <c r="R194" i="3"/>
  <c r="S194" i="3" s="1"/>
  <c r="I246" i="3"/>
  <c r="J246" i="3" s="1"/>
  <c r="R405" i="3"/>
  <c r="S405" i="3" s="1"/>
  <c r="X218" i="3"/>
  <c r="O93" i="3"/>
  <c r="P93" i="3" s="1"/>
  <c r="O90" i="3"/>
  <c r="P90" i="3" s="1"/>
  <c r="X145" i="3"/>
  <c r="I391" i="3"/>
  <c r="J391" i="3" s="1"/>
  <c r="I384" i="3"/>
  <c r="J384" i="3" s="1"/>
  <c r="I279" i="3"/>
  <c r="J279" i="3" s="1"/>
  <c r="O275" i="3"/>
  <c r="P275" i="3" s="1"/>
  <c r="R204" i="3"/>
  <c r="S204" i="3" s="1"/>
  <c r="R154" i="3"/>
  <c r="S154" i="3" s="1"/>
  <c r="L135" i="3"/>
  <c r="M135" i="3" s="1"/>
  <c r="L54" i="3"/>
  <c r="M54" i="3" s="1"/>
  <c r="U77" i="3"/>
  <c r="V77" i="3" s="1"/>
  <c r="O314" i="3"/>
  <c r="P314" i="3" s="1"/>
  <c r="L243" i="3"/>
  <c r="M243" i="3" s="1"/>
  <c r="I39" i="3"/>
  <c r="J39" i="3" s="1"/>
  <c r="X321" i="3"/>
  <c r="O231" i="3"/>
  <c r="P231" i="3" s="1"/>
  <c r="L293" i="3"/>
  <c r="M293" i="3" s="1"/>
  <c r="L247" i="3"/>
  <c r="M247" i="3" s="1"/>
  <c r="L36" i="3"/>
  <c r="M36" i="3" s="1"/>
  <c r="L3" i="3"/>
  <c r="U133" i="3"/>
  <c r="V133" i="3" s="1"/>
  <c r="I8" i="3"/>
  <c r="J8" i="3" s="1"/>
  <c r="I36" i="3"/>
  <c r="J36" i="3" s="1"/>
  <c r="I15" i="3"/>
  <c r="J15" i="3" s="1"/>
  <c r="I20" i="3"/>
  <c r="J20" i="3" s="1"/>
  <c r="I85" i="3"/>
  <c r="J85" i="3" s="1"/>
  <c r="I68" i="3"/>
  <c r="J68" i="3" s="1"/>
  <c r="I50" i="3"/>
  <c r="J50" i="3" s="1"/>
  <c r="I41" i="3"/>
  <c r="I67" i="3"/>
  <c r="J67" i="3" s="1"/>
  <c r="I40" i="3"/>
  <c r="J40" i="3" s="1"/>
  <c r="I56" i="3"/>
  <c r="J56" i="3" s="1"/>
  <c r="I58" i="3"/>
  <c r="J58" i="3" s="1"/>
  <c r="I51" i="3"/>
  <c r="J51" i="3" s="1"/>
  <c r="I19" i="3"/>
  <c r="J19" i="3" s="1"/>
  <c r="I91" i="3"/>
  <c r="J91" i="3" s="1"/>
  <c r="I69" i="3"/>
  <c r="J69" i="3" s="1"/>
  <c r="I199" i="3"/>
  <c r="J199" i="3" s="1"/>
  <c r="I147" i="3"/>
  <c r="I86" i="3"/>
  <c r="J86" i="3" s="1"/>
  <c r="I80" i="3"/>
  <c r="J80" i="3" s="1"/>
  <c r="O374" i="3"/>
  <c r="P374" i="3" s="1"/>
  <c r="X404" i="3"/>
  <c r="O182" i="3"/>
  <c r="P182" i="3" s="1"/>
  <c r="R31" i="3"/>
  <c r="S31" i="3" s="1"/>
  <c r="X171" i="3"/>
  <c r="I409" i="3"/>
  <c r="J409" i="3" s="1"/>
  <c r="I388" i="3"/>
  <c r="J388" i="3" s="1"/>
  <c r="U250" i="3"/>
  <c r="V250" i="3" s="1"/>
  <c r="O336" i="3"/>
  <c r="P336" i="3" s="1"/>
  <c r="R220" i="3"/>
  <c r="S220" i="3" s="1"/>
  <c r="R55" i="3"/>
  <c r="S55" i="3" s="1"/>
  <c r="L291" i="3"/>
  <c r="M291" i="3" s="1"/>
  <c r="L166" i="3"/>
  <c r="M166" i="3" s="1"/>
  <c r="R60" i="3"/>
  <c r="S60" i="3" s="1"/>
  <c r="X364" i="3"/>
  <c r="I417" i="3"/>
  <c r="J417" i="3" s="1"/>
  <c r="L346" i="3"/>
  <c r="M346" i="3" s="1"/>
  <c r="O329" i="3"/>
  <c r="P329" i="3" s="1"/>
  <c r="L277" i="3"/>
  <c r="M277" i="3" s="1"/>
  <c r="O198" i="3"/>
  <c r="P198" i="3" s="1"/>
  <c r="O261" i="3"/>
  <c r="P261" i="3" s="1"/>
  <c r="L89" i="3"/>
  <c r="M89" i="3" s="1"/>
  <c r="U16" i="3"/>
  <c r="V16" i="3" s="1"/>
  <c r="X73" i="3"/>
  <c r="L383" i="3"/>
  <c r="M383" i="3" s="1"/>
  <c r="R265" i="3"/>
  <c r="S265" i="3" s="1"/>
  <c r="O83" i="3"/>
  <c r="P83" i="3" s="1"/>
  <c r="U304" i="3"/>
  <c r="V304" i="3" s="1"/>
  <c r="I276" i="3"/>
  <c r="J276" i="3" s="1"/>
  <c r="R149" i="3"/>
  <c r="S149" i="3" s="1"/>
  <c r="L37" i="3"/>
  <c r="M37" i="3" s="1"/>
  <c r="I72" i="3"/>
  <c r="J72" i="3" s="1"/>
  <c r="L151" i="3"/>
  <c r="L109" i="3"/>
  <c r="M109" i="3" s="1"/>
  <c r="I62" i="3"/>
  <c r="J62" i="3" s="1"/>
  <c r="O97" i="3"/>
  <c r="P97" i="3" s="1"/>
  <c r="X40" i="3"/>
  <c r="U2" i="3"/>
  <c r="U40" i="3"/>
  <c r="V40" i="3" s="1"/>
  <c r="U90" i="3"/>
  <c r="V90" i="3" s="1"/>
  <c r="U41" i="3"/>
  <c r="U55" i="3"/>
  <c r="V55" i="3" s="1"/>
  <c r="U5" i="3"/>
  <c r="U50" i="3"/>
  <c r="U7" i="3"/>
  <c r="U83" i="3"/>
  <c r="V83" i="3" s="1"/>
  <c r="U34" i="3"/>
  <c r="X365" i="3"/>
  <c r="O400" i="3"/>
  <c r="P400" i="3" s="1"/>
  <c r="O333" i="3"/>
  <c r="P333" i="3" s="1"/>
  <c r="R242" i="3"/>
  <c r="S242" i="3" s="1"/>
  <c r="R197" i="3"/>
  <c r="S197" i="3" s="1"/>
  <c r="X244" i="3"/>
  <c r="R87" i="3"/>
  <c r="S87" i="3" s="1"/>
  <c r="U100" i="3"/>
  <c r="V100" i="3" s="1"/>
  <c r="L356" i="3"/>
  <c r="M356" i="3" s="1"/>
  <c r="X312" i="3"/>
  <c r="R80" i="3"/>
  <c r="S80" i="3" s="1"/>
  <c r="R21" i="3"/>
  <c r="S21" i="3" s="1"/>
  <c r="I21" i="3"/>
  <c r="J21" i="3" s="1"/>
  <c r="X313" i="3"/>
  <c r="I18" i="3"/>
  <c r="J18" i="3" s="1"/>
  <c r="R395" i="3"/>
  <c r="S395" i="3" s="1"/>
  <c r="L332" i="3"/>
  <c r="M332" i="3" s="1"/>
  <c r="O296" i="3"/>
  <c r="P296" i="3" s="1"/>
  <c r="I240" i="3"/>
  <c r="J240" i="3" s="1"/>
  <c r="L241" i="3"/>
  <c r="R239" i="3"/>
  <c r="S239" i="3" s="1"/>
  <c r="I71" i="3"/>
  <c r="J71" i="3" s="1"/>
  <c r="U78" i="3"/>
  <c r="V78" i="3" s="1"/>
  <c r="O232" i="3"/>
  <c r="P232" i="3" s="1"/>
  <c r="O414" i="3"/>
  <c r="P414" i="3" s="1"/>
  <c r="L47" i="3"/>
  <c r="M47" i="3" s="1"/>
  <c r="I134" i="3"/>
  <c r="J134" i="3" s="1"/>
  <c r="R172" i="3"/>
  <c r="S172" i="3" s="1"/>
  <c r="X157" i="3"/>
  <c r="L316" i="3"/>
  <c r="M316" i="3" s="1"/>
  <c r="L94" i="3"/>
  <c r="M94" i="3" s="1"/>
  <c r="I369" i="3"/>
  <c r="J369" i="3" s="1"/>
  <c r="L408" i="3"/>
  <c r="M408" i="3" s="1"/>
  <c r="U281" i="3"/>
  <c r="V281" i="3" s="1"/>
  <c r="L252" i="3"/>
  <c r="M252" i="3" s="1"/>
  <c r="R412" i="3"/>
  <c r="S412" i="3" s="1"/>
  <c r="X156" i="3"/>
  <c r="X137" i="3"/>
  <c r="X63" i="3"/>
  <c r="L357" i="3"/>
  <c r="M357" i="3" s="1"/>
  <c r="L288" i="3"/>
  <c r="M288" i="3" s="1"/>
  <c r="I48" i="3"/>
  <c r="J48" i="3" s="1"/>
  <c r="L246" i="3"/>
  <c r="M246" i="3" s="1"/>
  <c r="L25" i="3"/>
  <c r="M25" i="3" s="1"/>
  <c r="U65" i="3"/>
  <c r="V65" i="3" s="1"/>
  <c r="X189" i="3"/>
  <c r="O391" i="3"/>
  <c r="P391" i="3" s="1"/>
  <c r="U394" i="3"/>
  <c r="V394" i="3" s="1"/>
  <c r="O279" i="3"/>
  <c r="P279" i="3" s="1"/>
  <c r="R275" i="3"/>
  <c r="S275" i="3" s="1"/>
  <c r="O386" i="3"/>
  <c r="P386" i="3" s="1"/>
  <c r="X154" i="3"/>
  <c r="R135" i="3"/>
  <c r="S135" i="3" s="1"/>
  <c r="U54" i="3"/>
  <c r="V54" i="3" s="1"/>
  <c r="I28" i="3"/>
  <c r="J28" i="3" s="1"/>
  <c r="X314" i="3"/>
  <c r="I243" i="3"/>
  <c r="J243" i="3" s="1"/>
  <c r="X317" i="3"/>
  <c r="O183" i="3"/>
  <c r="P183" i="3" s="1"/>
  <c r="R247" i="3"/>
  <c r="S247" i="3" s="1"/>
  <c r="L118" i="3"/>
  <c r="M118" i="3" s="1"/>
  <c r="L8" i="3"/>
  <c r="L374" i="3"/>
  <c r="I404" i="3"/>
  <c r="J404" i="3" s="1"/>
  <c r="R182" i="3"/>
  <c r="S182" i="3" s="1"/>
  <c r="U31" i="3"/>
  <c r="U171" i="3"/>
  <c r="V171" i="3" s="1"/>
  <c r="L323" i="3"/>
  <c r="U222" i="3"/>
  <c r="V222" i="3" s="1"/>
  <c r="L201" i="3"/>
  <c r="M201" i="3" s="1"/>
  <c r="I336" i="3"/>
  <c r="J336" i="3" s="1"/>
  <c r="X61" i="3"/>
  <c r="L417" i="3"/>
  <c r="M417" i="3" s="1"/>
  <c r="O346" i="3"/>
  <c r="P346" i="3" s="1"/>
  <c r="R329" i="3"/>
  <c r="S329" i="3" s="1"/>
  <c r="R269" i="3"/>
  <c r="S269" i="3" s="1"/>
  <c r="I261" i="3"/>
  <c r="J261" i="3" s="1"/>
  <c r="R89" i="3"/>
  <c r="S89" i="3" s="1"/>
  <c r="X415" i="3"/>
  <c r="X74" i="3"/>
  <c r="O383" i="3"/>
  <c r="P383" i="3" s="1"/>
  <c r="X196" i="3"/>
  <c r="O276" i="3"/>
  <c r="P276" i="3" s="1"/>
  <c r="L199" i="3"/>
  <c r="M199" i="3" s="1"/>
  <c r="R72" i="3"/>
  <c r="S72" i="3" s="1"/>
  <c r="L174" i="3"/>
  <c r="M174" i="3" s="1"/>
  <c r="U215" i="3"/>
  <c r="V215" i="3" s="1"/>
  <c r="R109" i="3"/>
  <c r="S109" i="3" s="1"/>
  <c r="L62" i="3"/>
  <c r="M62" i="3" s="1"/>
  <c r="X155" i="3"/>
  <c r="R195" i="3"/>
  <c r="S195" i="3" s="1"/>
  <c r="I362" i="3"/>
  <c r="J362" i="3" s="1"/>
  <c r="I103" i="3"/>
  <c r="J103" i="3" s="1"/>
  <c r="O330" i="3"/>
  <c r="P330" i="3" s="1"/>
  <c r="R209" i="3"/>
  <c r="S209" i="3" s="1"/>
  <c r="X256" i="3"/>
  <c r="O331" i="3"/>
  <c r="P331" i="3" s="1"/>
  <c r="R214" i="3"/>
  <c r="S214" i="3" s="1"/>
  <c r="R348" i="3"/>
  <c r="S348" i="3" s="1"/>
  <c r="L405" i="3"/>
  <c r="M405" i="3" s="1"/>
  <c r="R306" i="3"/>
  <c r="S306" i="3" s="1"/>
  <c r="O347" i="3"/>
  <c r="P347" i="3" s="1"/>
  <c r="O256" i="3"/>
  <c r="P256" i="3" s="1"/>
  <c r="U322" i="3"/>
  <c r="V322" i="3" s="1"/>
  <c r="R340" i="3"/>
  <c r="S340" i="3" s="1"/>
  <c r="U366" i="3"/>
  <c r="V366" i="3" s="1"/>
  <c r="X327" i="3"/>
  <c r="R121" i="3"/>
  <c r="S121" i="3" s="1"/>
  <c r="X120" i="3"/>
  <c r="X246" i="3"/>
  <c r="O129" i="3"/>
  <c r="P129" i="3" s="1"/>
  <c r="X245" i="3"/>
  <c r="X59" i="3"/>
  <c r="I316" i="3"/>
  <c r="J316" i="3" s="1"/>
  <c r="O135" i="3"/>
  <c r="P135" i="3" s="1"/>
  <c r="R366" i="3"/>
  <c r="S366" i="3" s="1"/>
  <c r="I242" i="3"/>
  <c r="J242" i="3" s="1"/>
  <c r="O257" i="3"/>
  <c r="P257" i="3" s="1"/>
  <c r="R414" i="3"/>
  <c r="S414" i="3" s="1"/>
  <c r="R281" i="3"/>
  <c r="S281" i="3" s="1"/>
  <c r="R252" i="3"/>
  <c r="S252" i="3" s="1"/>
  <c r="U412" i="3"/>
  <c r="V412" i="3" s="1"/>
  <c r="I167" i="3"/>
  <c r="J167" i="3" s="1"/>
  <c r="I137" i="3"/>
  <c r="J137" i="3" s="1"/>
  <c r="R63" i="3"/>
  <c r="S63" i="3" s="1"/>
  <c r="X14" i="3"/>
  <c r="O357" i="3"/>
  <c r="P357" i="3" s="1"/>
  <c r="R288" i="3"/>
  <c r="S288" i="3" s="1"/>
  <c r="X98" i="3"/>
  <c r="O4" i="3"/>
  <c r="P4" i="3" s="1"/>
  <c r="L48" i="3"/>
  <c r="M48" i="3" s="1"/>
  <c r="O246" i="3"/>
  <c r="P246" i="3" s="1"/>
  <c r="I12" i="3"/>
  <c r="J12" i="3" s="1"/>
  <c r="X62" i="3"/>
  <c r="U391" i="3"/>
  <c r="V391" i="3" s="1"/>
  <c r="O394" i="3"/>
  <c r="P394" i="3" s="1"/>
  <c r="R279" i="3"/>
  <c r="S279" i="3" s="1"/>
  <c r="U275" i="3"/>
  <c r="V275" i="3" s="1"/>
  <c r="R386" i="3"/>
  <c r="S386" i="3" s="1"/>
  <c r="X144" i="3"/>
  <c r="X135" i="3"/>
  <c r="I54" i="3"/>
  <c r="J54" i="3" s="1"/>
  <c r="L28" i="3"/>
  <c r="M28" i="3" s="1"/>
  <c r="I314" i="3"/>
  <c r="J314" i="3" s="1"/>
  <c r="O243" i="3"/>
  <c r="P243" i="3" s="1"/>
  <c r="I176" i="3"/>
  <c r="J176" i="3" s="1"/>
  <c r="L328" i="3"/>
  <c r="M328" i="3" s="1"/>
  <c r="I317" i="3"/>
  <c r="J317" i="3" s="1"/>
  <c r="R38" i="3"/>
  <c r="S38" i="3" s="1"/>
  <c r="I247" i="3"/>
  <c r="J247" i="3" s="1"/>
  <c r="U26" i="3"/>
  <c r="V26" i="3" s="1"/>
  <c r="R352" i="3"/>
  <c r="S352" i="3" s="1"/>
  <c r="I253" i="3"/>
  <c r="J253" i="3" s="1"/>
  <c r="L300" i="3"/>
  <c r="R152" i="3"/>
  <c r="S152" i="3" s="1"/>
  <c r="O118" i="3"/>
  <c r="P118" i="3" s="1"/>
  <c r="O8" i="3"/>
  <c r="P8" i="3" s="1"/>
  <c r="R374" i="3"/>
  <c r="S374" i="3" s="1"/>
  <c r="R251" i="3"/>
  <c r="S251" i="3" s="1"/>
  <c r="U182" i="3"/>
  <c r="V182" i="3" s="1"/>
  <c r="I171" i="3"/>
  <c r="J171" i="3" s="1"/>
  <c r="O323" i="3"/>
  <c r="P323" i="3" s="1"/>
  <c r="X222" i="3"/>
  <c r="O201" i="3"/>
  <c r="P201" i="3" s="1"/>
  <c r="O11" i="3"/>
  <c r="P11" i="3" s="1"/>
  <c r="X385" i="3"/>
  <c r="R346" i="3"/>
  <c r="S346" i="3" s="1"/>
  <c r="I329" i="3"/>
  <c r="J329" i="3" s="1"/>
  <c r="U269" i="3"/>
  <c r="V269" i="3" s="1"/>
  <c r="X148" i="3"/>
  <c r="X368" i="3"/>
  <c r="I383" i="3"/>
  <c r="J383" i="3" s="1"/>
  <c r="R217" i="3"/>
  <c r="S217" i="3" s="1"/>
  <c r="R338" i="3"/>
  <c r="S338" i="3" s="1"/>
  <c r="U75" i="3"/>
  <c r="R375" i="3"/>
  <c r="S375" i="3" s="1"/>
  <c r="U287" i="3"/>
  <c r="V287" i="3" s="1"/>
  <c r="U72" i="3"/>
  <c r="I224" i="3"/>
  <c r="J224" i="3" s="1"/>
  <c r="O174" i="3"/>
  <c r="P174" i="3" s="1"/>
  <c r="U109" i="3"/>
  <c r="O62" i="3"/>
  <c r="P62" i="3" s="1"/>
  <c r="R110" i="3"/>
  <c r="S110" i="3" s="1"/>
  <c r="O145" i="3"/>
  <c r="P145" i="3" s="1"/>
  <c r="I107" i="3"/>
  <c r="J107" i="3" s="1"/>
  <c r="L373" i="3"/>
  <c r="M373" i="3" s="1"/>
  <c r="X309" i="3"/>
  <c r="R223" i="3"/>
  <c r="S223" i="3" s="1"/>
  <c r="R318" i="3"/>
  <c r="S318" i="3" s="1"/>
  <c r="I272" i="3"/>
  <c r="J272" i="3" s="1"/>
  <c r="I192" i="3"/>
  <c r="J192" i="3" s="1"/>
  <c r="L397" i="3"/>
  <c r="M397" i="3" s="1"/>
  <c r="X141" i="3"/>
  <c r="L107" i="3"/>
  <c r="M107" i="3" s="1"/>
  <c r="U238" i="3"/>
  <c r="V238" i="3" s="1"/>
  <c r="X65" i="3"/>
  <c r="X266" i="3"/>
  <c r="L131" i="3"/>
  <c r="M131" i="3" s="1"/>
  <c r="U209" i="3"/>
  <c r="V209" i="3" s="1"/>
  <c r="O228" i="3"/>
  <c r="P228" i="3" s="1"/>
  <c r="U407" i="3"/>
  <c r="V407" i="3" s="1"/>
  <c r="R43" i="3"/>
  <c r="S43" i="3" s="1"/>
  <c r="L327" i="3"/>
  <c r="M327" i="3" s="1"/>
  <c r="X243" i="3"/>
  <c r="O297" i="3"/>
  <c r="P297" i="3" s="1"/>
  <c r="I101" i="3"/>
  <c r="J101" i="3" s="1"/>
  <c r="I204" i="3"/>
  <c r="J204" i="3" s="1"/>
  <c r="U373" i="3"/>
  <c r="V373" i="3" s="1"/>
  <c r="I309" i="3"/>
  <c r="J309" i="3" s="1"/>
  <c r="I220" i="3"/>
  <c r="J220" i="3" s="1"/>
  <c r="X193" i="3"/>
  <c r="L318" i="3"/>
  <c r="M318" i="3" s="1"/>
  <c r="O170" i="3"/>
  <c r="P170" i="3" s="1"/>
  <c r="R52" i="3"/>
  <c r="S52" i="3" s="1"/>
  <c r="U53" i="3"/>
  <c r="V53" i="3" s="1"/>
  <c r="U158" i="3"/>
  <c r="V158" i="3" s="1"/>
  <c r="O121" i="3"/>
  <c r="P121" i="3" s="1"/>
  <c r="X410" i="3"/>
  <c r="L266" i="3"/>
  <c r="M266" i="3" s="1"/>
  <c r="X286" i="3"/>
  <c r="L306" i="3"/>
  <c r="M306" i="3" s="1"/>
  <c r="O388" i="3"/>
  <c r="P388" i="3" s="1"/>
  <c r="I112" i="3"/>
  <c r="J112" i="3" s="1"/>
  <c r="X60" i="3"/>
  <c r="R177" i="3"/>
  <c r="S177" i="3" s="1"/>
  <c r="X108" i="3"/>
  <c r="I97" i="3"/>
  <c r="J97" i="3" s="1"/>
  <c r="R256" i="3"/>
  <c r="S256" i="3" s="1"/>
  <c r="I356" i="3"/>
  <c r="J356" i="3" s="1"/>
  <c r="I163" i="3"/>
  <c r="R158" i="3"/>
  <c r="S158" i="3" s="1"/>
  <c r="R297" i="3"/>
  <c r="S297" i="3" s="1"/>
  <c r="O354" i="3"/>
  <c r="P354" i="3" s="1"/>
  <c r="X281" i="3"/>
  <c r="X206" i="3"/>
  <c r="I288" i="3"/>
  <c r="J288" i="3" s="1"/>
  <c r="R153" i="3"/>
  <c r="S153" i="3" s="1"/>
  <c r="L112" i="3"/>
  <c r="M112" i="3" s="1"/>
  <c r="L305" i="3"/>
  <c r="I265" i="3"/>
  <c r="J265" i="3" s="1"/>
  <c r="R272" i="3"/>
  <c r="S272" i="3" s="1"/>
  <c r="X11" i="3"/>
  <c r="R333" i="3"/>
  <c r="S333" i="3" s="1"/>
  <c r="I256" i="3"/>
  <c r="J256" i="3" s="1"/>
  <c r="O53" i="3"/>
  <c r="P53" i="3" s="1"/>
  <c r="O395" i="3"/>
  <c r="P395" i="3" s="1"/>
  <c r="U23" i="3"/>
  <c r="V23" i="3" s="1"/>
  <c r="I172" i="3"/>
  <c r="J172" i="3" s="1"/>
  <c r="R120" i="3"/>
  <c r="S120" i="3" s="1"/>
  <c r="X369" i="3"/>
  <c r="U218" i="3"/>
  <c r="V218" i="3" s="1"/>
  <c r="U178" i="3"/>
  <c r="V178" i="3" s="1"/>
  <c r="R161" i="3"/>
  <c r="S161" i="3" s="1"/>
  <c r="I355" i="3"/>
  <c r="J355" i="3" s="1"/>
  <c r="O79" i="3"/>
  <c r="P79" i="3" s="1"/>
  <c r="O417" i="3"/>
  <c r="P417" i="3" s="1"/>
  <c r="I415" i="3"/>
  <c r="J415" i="3" s="1"/>
  <c r="U356" i="3"/>
  <c r="V356" i="3" s="1"/>
  <c r="R312" i="3"/>
  <c r="S312" i="3" s="1"/>
  <c r="R163" i="3"/>
  <c r="S163" i="3" s="1"/>
  <c r="L333" i="3"/>
  <c r="R58" i="3"/>
  <c r="S58" i="3" s="1"/>
  <c r="X127" i="3"/>
  <c r="X241" i="3"/>
  <c r="I121" i="3"/>
  <c r="J121" i="3" s="1"/>
  <c r="U242" i="3"/>
  <c r="V242" i="3" s="1"/>
  <c r="X100" i="3"/>
  <c r="R296" i="3"/>
  <c r="S296" i="3" s="1"/>
  <c r="L240" i="3"/>
  <c r="M240" i="3" s="1"/>
  <c r="X78" i="3"/>
  <c r="O47" i="3"/>
  <c r="P47" i="3" s="1"/>
  <c r="I162" i="3"/>
  <c r="J162" i="3" s="1"/>
  <c r="U197" i="3"/>
  <c r="V197" i="3" s="1"/>
  <c r="I324" i="3"/>
  <c r="L406" i="3"/>
  <c r="M406" i="3" s="1"/>
  <c r="U414" i="3"/>
  <c r="V414" i="3" s="1"/>
  <c r="R349" i="3"/>
  <c r="S349" i="3" s="1"/>
  <c r="O14" i="3"/>
  <c r="P14" i="3" s="1"/>
  <c r="X389" i="3"/>
  <c r="R320" i="3"/>
  <c r="S320" i="3" s="1"/>
  <c r="X28" i="3"/>
  <c r="U409" i="3"/>
  <c r="V409" i="3" s="1"/>
  <c r="U179" i="3"/>
  <c r="V179" i="3" s="1"/>
  <c r="X336" i="3"/>
  <c r="U346" i="3"/>
  <c r="V346" i="3" s="1"/>
  <c r="U235" i="3"/>
  <c r="V235" i="3" s="1"/>
  <c r="I138" i="3"/>
  <c r="J138" i="3" s="1"/>
  <c r="I16" i="3"/>
  <c r="J16" i="3" s="1"/>
  <c r="O381" i="3"/>
  <c r="P381" i="3" s="1"/>
  <c r="U217" i="3"/>
  <c r="V217" i="3" s="1"/>
  <c r="U338" i="3"/>
  <c r="V338" i="3" s="1"/>
  <c r="I75" i="3"/>
  <c r="J75" i="3" s="1"/>
  <c r="O130" i="3"/>
  <c r="P130" i="3" s="1"/>
  <c r="I287" i="3"/>
  <c r="J287" i="3" s="1"/>
  <c r="I79" i="3"/>
  <c r="L224" i="3"/>
  <c r="M224" i="3" s="1"/>
  <c r="R174" i="3"/>
  <c r="S174" i="3" s="1"/>
  <c r="I215" i="3"/>
  <c r="J215" i="3" s="1"/>
  <c r="I32" i="3"/>
  <c r="J32" i="3" s="1"/>
  <c r="O159" i="3"/>
  <c r="P159" i="3" s="1"/>
  <c r="O211" i="3"/>
  <c r="P211" i="3" s="1"/>
  <c r="X287" i="3"/>
  <c r="R238" i="3"/>
  <c r="S238" i="3" s="1"/>
  <c r="X326" i="3"/>
  <c r="O216" i="3"/>
  <c r="P216" i="3" s="1"/>
  <c r="L84" i="3"/>
  <c r="M84" i="3" s="1"/>
  <c r="X9" i="3"/>
  <c r="R116" i="3"/>
  <c r="S116" i="3" s="1"/>
  <c r="X226" i="3"/>
  <c r="U22" i="3"/>
  <c r="V22" i="3" s="1"/>
  <c r="I120" i="3"/>
  <c r="J120" i="3" s="1"/>
  <c r="R360" i="3"/>
  <c r="S360" i="3" s="1"/>
  <c r="O367" i="3"/>
  <c r="P367" i="3" s="1"/>
  <c r="R359" i="3"/>
  <c r="S359" i="3" s="1"/>
  <c r="U382" i="3"/>
  <c r="V382" i="3" s="1"/>
  <c r="O326" i="3"/>
  <c r="P326" i="3" s="1"/>
  <c r="I318" i="3"/>
  <c r="J318" i="3" s="1"/>
  <c r="L170" i="3"/>
  <c r="X175" i="3"/>
  <c r="I245" i="3"/>
  <c r="J245" i="3" s="1"/>
  <c r="I110" i="3"/>
  <c r="J110" i="3" s="1"/>
  <c r="X163" i="3"/>
  <c r="R322" i="3"/>
  <c r="S322" i="3" s="1"/>
  <c r="U354" i="3"/>
  <c r="V354" i="3" s="1"/>
  <c r="X159" i="3"/>
  <c r="R70" i="3"/>
  <c r="S70" i="3" s="1"/>
  <c r="U186" i="3"/>
  <c r="V186" i="3" s="1"/>
  <c r="U231" i="3"/>
  <c r="V231" i="3" s="1"/>
  <c r="I209" i="3"/>
  <c r="J209" i="3" s="1"/>
  <c r="U112" i="3"/>
  <c r="X216" i="3"/>
  <c r="R117" i="3"/>
  <c r="S117" i="3" s="1"/>
  <c r="U108" i="3"/>
  <c r="R97" i="3"/>
  <c r="S97" i="3" s="1"/>
  <c r="X56" i="3"/>
  <c r="X333" i="3"/>
  <c r="L81" i="3"/>
  <c r="M81" i="3" s="1"/>
  <c r="R145" i="3"/>
  <c r="S145" i="3" s="1"/>
  <c r="O139" i="3"/>
  <c r="P139" i="3" s="1"/>
  <c r="R164" i="3"/>
  <c r="S164" i="3" s="1"/>
  <c r="X49" i="3"/>
  <c r="R294" i="3"/>
  <c r="S294" i="3" s="1"/>
  <c r="I382" i="3"/>
  <c r="J382" i="3" s="1"/>
  <c r="U200" i="3"/>
  <c r="V200" i="3" s="1"/>
  <c r="O227" i="3"/>
  <c r="P227" i="3" s="1"/>
  <c r="I216" i="3"/>
  <c r="J216" i="3" s="1"/>
  <c r="O35" i="3"/>
  <c r="P35" i="3" s="1"/>
  <c r="R170" i="3"/>
  <c r="S170" i="3" s="1"/>
  <c r="U245" i="3"/>
  <c r="I128" i="3"/>
  <c r="J128" i="3" s="1"/>
  <c r="X53" i="3"/>
  <c r="X395" i="3"/>
  <c r="I78" i="3"/>
  <c r="J78" i="3" s="1"/>
  <c r="R46" i="3"/>
  <c r="S46" i="3" s="1"/>
  <c r="L309" i="3"/>
  <c r="M309" i="3" s="1"/>
  <c r="U340" i="3"/>
  <c r="R356" i="3"/>
  <c r="S356" i="3" s="1"/>
  <c r="O202" i="3"/>
  <c r="P202" i="3" s="1"/>
  <c r="L388" i="3"/>
  <c r="M388" i="3" s="1"/>
  <c r="U148" i="3"/>
  <c r="V148" i="3" s="1"/>
  <c r="X265" i="3"/>
  <c r="L375" i="3"/>
  <c r="M375" i="3" s="1"/>
  <c r="L365" i="3"/>
  <c r="M365" i="3" s="1"/>
  <c r="X242" i="3"/>
  <c r="R327" i="3"/>
  <c r="S327" i="3" s="1"/>
  <c r="U244" i="3"/>
  <c r="V244" i="3" s="1"/>
  <c r="O81" i="3"/>
  <c r="P81" i="3" s="1"/>
  <c r="L313" i="3"/>
  <c r="M313" i="3" s="1"/>
  <c r="I395" i="3"/>
  <c r="J395" i="3" s="1"/>
  <c r="I139" i="3"/>
  <c r="J139" i="3" s="1"/>
  <c r="O172" i="3"/>
  <c r="P172" i="3" s="1"/>
  <c r="L2" i="3"/>
  <c r="L90" i="3"/>
  <c r="M90" i="3" s="1"/>
  <c r="L80" i="3"/>
  <c r="L41" i="3"/>
  <c r="L20" i="3"/>
  <c r="L177" i="3"/>
  <c r="L83" i="3"/>
  <c r="M83" i="3" s="1"/>
  <c r="L26" i="3"/>
  <c r="M26" i="3" s="1"/>
  <c r="L11" i="3"/>
  <c r="M11" i="3" s="1"/>
  <c r="L4" i="3"/>
  <c r="M4" i="3" s="1"/>
  <c r="L79" i="3"/>
  <c r="L68" i="3"/>
  <c r="M68" i="3" s="1"/>
  <c r="L132" i="3"/>
  <c r="M132" i="3" s="1"/>
  <c r="L6" i="3"/>
  <c r="M6" i="3" s="1"/>
  <c r="L106" i="3"/>
  <c r="M106" i="3" s="1"/>
  <c r="L19" i="3"/>
  <c r="M19" i="3" s="1"/>
  <c r="L15" i="3"/>
  <c r="L55" i="3"/>
  <c r="M55" i="3" s="1"/>
  <c r="L67" i="3"/>
  <c r="M67" i="3" s="1"/>
  <c r="L147" i="3"/>
  <c r="X345" i="3"/>
  <c r="X115" i="3"/>
  <c r="U239" i="3"/>
  <c r="V239" i="3" s="1"/>
  <c r="X232" i="3"/>
  <c r="I157" i="3"/>
  <c r="J157" i="3" s="1"/>
  <c r="L46" i="3"/>
  <c r="M46" i="3" s="1"/>
  <c r="R244" i="3"/>
  <c r="S244" i="3" s="1"/>
  <c r="X325" i="3"/>
  <c r="O157" i="3"/>
  <c r="P157" i="3" s="1"/>
  <c r="U252" i="3"/>
  <c r="V252" i="3" s="1"/>
  <c r="U63" i="3"/>
  <c r="X357" i="3"/>
  <c r="U48" i="3"/>
  <c r="V48" i="3" s="1"/>
  <c r="R351" i="3"/>
  <c r="S351" i="3" s="1"/>
  <c r="R394" i="3"/>
  <c r="S394" i="3" s="1"/>
  <c r="I135" i="3"/>
  <c r="J135" i="3" s="1"/>
  <c r="U210" i="3"/>
  <c r="V210" i="3" s="1"/>
  <c r="U254" i="3"/>
  <c r="V254" i="3" s="1"/>
  <c r="L324" i="3"/>
  <c r="R406" i="3"/>
  <c r="S406" i="3" s="1"/>
  <c r="X240" i="3"/>
  <c r="O239" i="3"/>
  <c r="P239" i="3" s="1"/>
  <c r="X95" i="3"/>
  <c r="U232" i="3"/>
  <c r="V232" i="3" s="1"/>
  <c r="U68" i="3"/>
  <c r="V68" i="3" s="1"/>
  <c r="L134" i="3"/>
  <c r="L24" i="3"/>
  <c r="O248" i="3"/>
  <c r="P248" i="3" s="1"/>
  <c r="U44" i="3"/>
  <c r="X383" i="3"/>
  <c r="U393" i="3"/>
  <c r="V393" i="3" s="1"/>
  <c r="U408" i="3"/>
  <c r="V408" i="3" s="1"/>
  <c r="X252" i="3"/>
  <c r="O412" i="3"/>
  <c r="P412" i="3" s="1"/>
  <c r="U167" i="3"/>
  <c r="V167" i="3" s="1"/>
  <c r="I185" i="3"/>
  <c r="J185" i="3" s="1"/>
  <c r="O64" i="3"/>
  <c r="P64" i="3" s="1"/>
  <c r="I11" i="3"/>
  <c r="J11" i="3" s="1"/>
  <c r="I357" i="3"/>
  <c r="J357" i="3" s="1"/>
  <c r="L350" i="3"/>
  <c r="M350" i="3" s="1"/>
  <c r="R187" i="3"/>
  <c r="S187" i="3" s="1"/>
  <c r="L88" i="3"/>
  <c r="M88" i="3" s="1"/>
  <c r="I376" i="3"/>
  <c r="J376" i="3" s="1"/>
  <c r="L351" i="3"/>
  <c r="M351" i="3" s="1"/>
  <c r="R391" i="3"/>
  <c r="S391" i="3" s="1"/>
  <c r="L394" i="3"/>
  <c r="M394" i="3" s="1"/>
  <c r="U320" i="3"/>
  <c r="V320" i="3" s="1"/>
  <c r="L275" i="3"/>
  <c r="M275" i="3" s="1"/>
  <c r="L386" i="3"/>
  <c r="M386" i="3" s="1"/>
  <c r="I144" i="3"/>
  <c r="J144" i="3" s="1"/>
  <c r="X165" i="3"/>
  <c r="X54" i="3"/>
  <c r="O28" i="3"/>
  <c r="P28" i="3" s="1"/>
  <c r="U39" i="3"/>
  <c r="U321" i="3"/>
  <c r="V321" i="3" s="1"/>
  <c r="I213" i="3"/>
  <c r="J213" i="3" s="1"/>
  <c r="R317" i="3"/>
  <c r="S317" i="3" s="1"/>
  <c r="X38" i="3"/>
  <c r="X247" i="3"/>
  <c r="U6" i="3"/>
  <c r="V6" i="3" s="1"/>
  <c r="L389" i="3"/>
  <c r="M389" i="3" s="1"/>
  <c r="L114" i="3"/>
  <c r="M114" i="3" s="1"/>
  <c r="O29" i="3"/>
  <c r="P29" i="3" s="1"/>
  <c r="L12" i="3"/>
  <c r="X374" i="3"/>
  <c r="U251" i="3"/>
  <c r="U207" i="3"/>
  <c r="V207" i="3" s="1"/>
  <c r="O31" i="3"/>
  <c r="P31" i="3" s="1"/>
  <c r="R409" i="3"/>
  <c r="S409" i="3" s="1"/>
  <c r="U336" i="3"/>
  <c r="V336" i="3" s="1"/>
  <c r="U219" i="3"/>
  <c r="V219" i="3" s="1"/>
  <c r="O403" i="3"/>
  <c r="P403" i="3" s="1"/>
  <c r="L267" i="3"/>
  <c r="M267" i="3" s="1"/>
  <c r="O126" i="3"/>
  <c r="P126" i="3" s="1"/>
  <c r="I315" i="3"/>
  <c r="J315" i="3" s="1"/>
  <c r="U262" i="3"/>
  <c r="V262" i="3" s="1"/>
  <c r="X179" i="3"/>
  <c r="X339" i="3"/>
  <c r="R364" i="3"/>
  <c r="S364" i="3" s="1"/>
  <c r="O269" i="3"/>
  <c r="P269" i="3" s="1"/>
  <c r="R235" i="3"/>
  <c r="S235" i="3" s="1"/>
  <c r="X304" i="3"/>
  <c r="R383" i="3"/>
  <c r="S383" i="3" s="1"/>
  <c r="L196" i="3"/>
  <c r="M196" i="3" s="1"/>
  <c r="X270" i="3"/>
  <c r="R130" i="3"/>
  <c r="S130" i="3" s="1"/>
  <c r="L287" i="3"/>
  <c r="M287" i="3" s="1"/>
  <c r="X290" i="3"/>
  <c r="R224" i="3"/>
  <c r="S224" i="3" s="1"/>
  <c r="U174" i="3"/>
  <c r="V174" i="3" s="1"/>
  <c r="X271" i="3"/>
  <c r="X34" i="3"/>
  <c r="R205" i="3"/>
  <c r="S205" i="3" s="1"/>
  <c r="R57" i="3"/>
  <c r="S57" i="3" s="1"/>
  <c r="U309" i="3"/>
  <c r="O117" i="3"/>
  <c r="P117" i="3" s="1"/>
  <c r="R53" i="3"/>
  <c r="S53" i="3" s="1"/>
  <c r="O103" i="3"/>
  <c r="P103" i="3" s="1"/>
  <c r="I212" i="3"/>
  <c r="J212" i="3" s="1"/>
  <c r="X382" i="3"/>
  <c r="U348" i="3"/>
  <c r="V348" i="3" s="1"/>
  <c r="U419" i="3"/>
  <c r="V419" i="3" s="1"/>
  <c r="X231" i="3"/>
  <c r="R292" i="3"/>
  <c r="S292" i="3" s="1"/>
  <c r="R249" i="3"/>
  <c r="S249" i="3" s="1"/>
  <c r="X151" i="3"/>
  <c r="O108" i="3"/>
  <c r="P108" i="3" s="1"/>
  <c r="U312" i="3"/>
  <c r="V312" i="3" s="1"/>
  <c r="O322" i="3"/>
  <c r="P322" i="3" s="1"/>
  <c r="U345" i="3"/>
  <c r="V345" i="3" s="1"/>
  <c r="X209" i="3"/>
  <c r="L239" i="3"/>
  <c r="M239" i="3" s="1"/>
  <c r="L86" i="3"/>
  <c r="M86" i="3" s="1"/>
  <c r="O125" i="3"/>
  <c r="P125" i="3" s="1"/>
  <c r="X340" i="3"/>
  <c r="O71" i="3"/>
  <c r="P71" i="3" s="1"/>
  <c r="I37" i="3"/>
  <c r="J37" i="3" s="1"/>
  <c r="X330" i="3"/>
  <c r="I165" i="3"/>
  <c r="J165" i="3" s="1"/>
  <c r="R28" i="3"/>
  <c r="S28" i="3" s="1"/>
  <c r="I66" i="3"/>
  <c r="J66" i="3" s="1"/>
  <c r="R310" i="3"/>
  <c r="S310" i="3" s="1"/>
  <c r="L123" i="3"/>
  <c r="M123" i="3" s="1"/>
  <c r="L38" i="3"/>
  <c r="M38" i="3" s="1"/>
  <c r="L298" i="3"/>
  <c r="X142" i="3"/>
  <c r="U114" i="3"/>
  <c r="R29" i="3"/>
  <c r="S29" i="3" s="1"/>
  <c r="I374" i="3"/>
  <c r="J374" i="3" s="1"/>
  <c r="X207" i="3"/>
  <c r="I361" i="3"/>
  <c r="J361" i="3" s="1"/>
  <c r="O171" i="3"/>
  <c r="P171" i="3" s="1"/>
  <c r="U181" i="3"/>
  <c r="V181" i="3" s="1"/>
  <c r="X274" i="3"/>
  <c r="I403" i="3"/>
  <c r="J403" i="3" s="1"/>
  <c r="O267" i="3"/>
  <c r="P267" i="3" s="1"/>
  <c r="U223" i="3"/>
  <c r="V223" i="3" s="1"/>
  <c r="U126" i="3"/>
  <c r="L315" i="3"/>
  <c r="M315" i="3" s="1"/>
  <c r="I214" i="3"/>
  <c r="J214" i="3" s="1"/>
  <c r="L179" i="3"/>
  <c r="O339" i="3"/>
  <c r="P339" i="3" s="1"/>
  <c r="O385" i="3"/>
  <c r="P385" i="3" s="1"/>
  <c r="U364" i="3"/>
  <c r="V364" i="3" s="1"/>
  <c r="U343" i="3"/>
  <c r="V343" i="3" s="1"/>
  <c r="I82" i="3"/>
  <c r="J82" i="3" s="1"/>
  <c r="I344" i="3"/>
  <c r="J344" i="3" s="1"/>
  <c r="O196" i="3"/>
  <c r="P196" i="3" s="1"/>
  <c r="X371" i="3"/>
  <c r="X104" i="3"/>
  <c r="I270" i="3"/>
  <c r="J270" i="3" s="1"/>
  <c r="I43" i="3"/>
  <c r="J43" i="3" s="1"/>
  <c r="I299" i="3"/>
  <c r="J299" i="3" s="1"/>
  <c r="I255" i="3"/>
  <c r="J255" i="3" s="1"/>
  <c r="L192" i="3"/>
  <c r="I27" i="3"/>
  <c r="J27" i="3" s="1"/>
  <c r="X18" i="3"/>
  <c r="R175" i="3"/>
  <c r="S175" i="3" s="1"/>
  <c r="X229" i="3"/>
  <c r="I70" i="3"/>
  <c r="J70" i="3" s="1"/>
  <c r="X372" i="3"/>
  <c r="U129" i="3"/>
  <c r="X310" i="3"/>
  <c r="R382" i="3"/>
  <c r="S382" i="3" s="1"/>
  <c r="R392" i="3"/>
  <c r="S392" i="3" s="1"/>
  <c r="L30" i="3"/>
  <c r="M30" i="3" s="1"/>
  <c r="X225" i="3"/>
  <c r="I340" i="3"/>
  <c r="J340" i="3" s="1"/>
  <c r="O348" i="3"/>
  <c r="L53" i="3"/>
  <c r="M53" i="3" s="1"/>
  <c r="X250" i="3"/>
  <c r="L70" i="3"/>
  <c r="O111" i="3"/>
  <c r="P111" i="3" s="1"/>
  <c r="U122" i="3"/>
  <c r="V122" i="3" s="1"/>
  <c r="O112" i="3"/>
  <c r="P112" i="3" s="1"/>
  <c r="O289" i="3"/>
  <c r="P289" i="3" s="1"/>
  <c r="X363" i="3"/>
  <c r="X4" i="3"/>
  <c r="I141" i="3"/>
  <c r="J141" i="3" s="1"/>
  <c r="U145" i="3"/>
  <c r="V145" i="3" s="1"/>
  <c r="O410" i="3"/>
  <c r="P410" i="3" s="1"/>
  <c r="I398" i="3"/>
  <c r="J398" i="3" s="1"/>
  <c r="O194" i="3"/>
  <c r="P194" i="3" s="1"/>
  <c r="U396" i="3"/>
  <c r="V396" i="3" s="1"/>
  <c r="R105" i="3"/>
  <c r="S105" i="3" s="1"/>
  <c r="L98" i="3"/>
  <c r="M98" i="3" s="1"/>
  <c r="U289" i="3"/>
  <c r="V289" i="3" s="1"/>
  <c r="O65" i="3"/>
  <c r="P65" i="3" s="1"/>
  <c r="L35" i="3"/>
  <c r="M35" i="3" s="1"/>
  <c r="U295" i="3"/>
  <c r="X55" i="3"/>
  <c r="X399" i="3"/>
  <c r="U128" i="3"/>
  <c r="V128" i="3" s="1"/>
  <c r="O327" i="3"/>
  <c r="P327" i="3" s="1"/>
  <c r="I159" i="3"/>
  <c r="J159" i="3" s="1"/>
  <c r="U99" i="3"/>
  <c r="V99" i="3" s="1"/>
  <c r="O249" i="3"/>
  <c r="P249" i="3" s="1"/>
  <c r="R103" i="3"/>
  <c r="S103" i="3" s="1"/>
  <c r="U194" i="3"/>
  <c r="V194" i="3" s="1"/>
  <c r="I331" i="3"/>
  <c r="J331" i="3" s="1"/>
  <c r="R86" i="3"/>
  <c r="S86" i="3" s="1"/>
  <c r="R129" i="3"/>
  <c r="S129" i="3" s="1"/>
  <c r="X373" i="3"/>
  <c r="O309" i="3"/>
  <c r="P309" i="3" s="1"/>
  <c r="O404" i="3"/>
  <c r="P404" i="3" s="1"/>
  <c r="O96" i="3"/>
  <c r="P96" i="3" s="1"/>
  <c r="U84" i="3"/>
  <c r="V84" i="3" s="1"/>
  <c r="R407" i="3"/>
  <c r="S407" i="3" s="1"/>
  <c r="I397" i="3"/>
  <c r="J397" i="3" s="1"/>
  <c r="I116" i="3"/>
  <c r="J116" i="3" s="1"/>
  <c r="O22" i="3"/>
  <c r="P22" i="3" s="1"/>
  <c r="I380" i="3"/>
  <c r="J380" i="3" s="1"/>
  <c r="X257" i="3"/>
  <c r="R47" i="3"/>
  <c r="S47" i="3" s="1"/>
  <c r="O369" i="3"/>
  <c r="P369" i="3" s="1"/>
  <c r="R419" i="3"/>
  <c r="S419" i="3" s="1"/>
  <c r="L218" i="3"/>
  <c r="U105" i="3"/>
  <c r="V105" i="3" s="1"/>
  <c r="U306" i="3"/>
  <c r="V306" i="3" s="1"/>
  <c r="X17" i="3"/>
  <c r="L220" i="3"/>
  <c r="I148" i="3"/>
  <c r="J148" i="3" s="1"/>
  <c r="R304" i="3"/>
  <c r="S304" i="3" s="1"/>
  <c r="R237" i="3"/>
  <c r="S237" i="3" s="1"/>
  <c r="R397" i="3"/>
  <c r="S397" i="3" s="1"/>
  <c r="L87" i="3"/>
  <c r="M87" i="3" s="1"/>
  <c r="I327" i="3"/>
  <c r="J327" i="3" s="1"/>
  <c r="R26" i="3"/>
  <c r="S26" i="3" s="1"/>
  <c r="O332" i="3"/>
  <c r="P332" i="3" s="1"/>
  <c r="X158" i="3"/>
  <c r="I378" i="3"/>
  <c r="J378" i="3" s="1"/>
  <c r="I63" i="3"/>
  <c r="J63" i="3" s="1"/>
  <c r="X288" i="3"/>
  <c r="I194" i="3"/>
  <c r="J194" i="3" s="1"/>
  <c r="X306" i="3"/>
  <c r="O52" i="3"/>
  <c r="P52" i="3" s="1"/>
  <c r="X89" i="3"/>
  <c r="L338" i="3"/>
  <c r="M338" i="3" s="1"/>
  <c r="R295" i="3"/>
  <c r="S295" i="3" s="1"/>
  <c r="X33" i="3"/>
  <c r="L256" i="3"/>
  <c r="M256" i="3" s="1"/>
  <c r="L334" i="3"/>
  <c r="M334" i="3" s="1"/>
  <c r="I59" i="3"/>
  <c r="J59" i="3" s="1"/>
  <c r="L197" i="3"/>
  <c r="M197" i="3" s="1"/>
  <c r="O100" i="3"/>
  <c r="P100" i="3" s="1"/>
  <c r="O334" i="3"/>
  <c r="P334" i="3" s="1"/>
  <c r="O80" i="3"/>
  <c r="P80" i="3" s="1"/>
  <c r="I143" i="3"/>
  <c r="J143" i="3" s="1"/>
  <c r="I332" i="3"/>
  <c r="J332" i="3" s="1"/>
  <c r="X239" i="3"/>
  <c r="I249" i="3"/>
  <c r="J249" i="3" s="1"/>
  <c r="I365" i="3"/>
  <c r="J365" i="3" s="1"/>
  <c r="I244" i="3"/>
  <c r="J244" i="3" s="1"/>
  <c r="I334" i="3"/>
  <c r="J334" i="3" s="1"/>
  <c r="O406" i="3"/>
  <c r="P406" i="3" s="1"/>
  <c r="U71" i="3"/>
  <c r="U134" i="3"/>
  <c r="V134" i="3" s="1"/>
  <c r="U94" i="3"/>
  <c r="V94" i="3" s="1"/>
  <c r="X393" i="3"/>
  <c r="I14" i="3"/>
  <c r="J14" i="3" s="1"/>
  <c r="O2" i="3"/>
  <c r="O51" i="3"/>
  <c r="P51" i="3" s="1"/>
  <c r="O50" i="3"/>
  <c r="P50" i="3" s="1"/>
  <c r="O55" i="3"/>
  <c r="P55" i="3" s="1"/>
  <c r="O36" i="3"/>
  <c r="P36" i="3" s="1"/>
  <c r="O161" i="3"/>
  <c r="P161" i="3" s="1"/>
  <c r="O25" i="3"/>
  <c r="P25" i="3" s="1"/>
  <c r="O57" i="3"/>
  <c r="P57" i="3" s="1"/>
  <c r="L210" i="3"/>
  <c r="U313" i="3"/>
  <c r="V313" i="3" s="1"/>
  <c r="U296" i="3"/>
  <c r="V296" i="3" s="1"/>
  <c r="I190" i="3"/>
  <c r="J190" i="3" s="1"/>
  <c r="R232" i="3"/>
  <c r="S232" i="3" s="1"/>
  <c r="X134" i="3"/>
  <c r="X172" i="3"/>
  <c r="R408" i="3"/>
  <c r="S408" i="3" s="1"/>
  <c r="U144" i="3"/>
  <c r="V144" i="3" s="1"/>
  <c r="O54" i="3"/>
  <c r="P54" i="3" s="1"/>
  <c r="R293" i="3"/>
  <c r="S293" i="3" s="1"/>
  <c r="L317" i="3"/>
  <c r="M317" i="3" s="1"/>
  <c r="O177" i="3"/>
  <c r="P177" i="3" s="1"/>
  <c r="O335" i="3"/>
  <c r="L29" i="3"/>
  <c r="M29" i="3" s="1"/>
  <c r="O251" i="3"/>
  <c r="P251" i="3" s="1"/>
  <c r="R171" i="3"/>
  <c r="S171" i="3" s="1"/>
  <c r="I385" i="3"/>
  <c r="J385" i="3" s="1"/>
  <c r="R2" i="3"/>
  <c r="R37" i="3"/>
  <c r="S37" i="3" s="1"/>
  <c r="R159" i="3"/>
  <c r="S159" i="3" s="1"/>
  <c r="R40" i="3"/>
  <c r="S40" i="3" s="1"/>
  <c r="R90" i="3"/>
  <c r="S90" i="3" s="1"/>
  <c r="R69" i="3"/>
  <c r="S69" i="3" s="1"/>
  <c r="R132" i="3"/>
  <c r="S132" i="3" s="1"/>
  <c r="R65" i="3"/>
  <c r="S65" i="3" s="1"/>
  <c r="R85" i="3"/>
  <c r="S85" i="3" s="1"/>
  <c r="R79" i="3"/>
  <c r="S79" i="3" s="1"/>
  <c r="R36" i="3"/>
  <c r="S36" i="3" s="1"/>
  <c r="R14" i="3"/>
  <c r="S14" i="3" s="1"/>
  <c r="R11" i="3"/>
  <c r="S11" i="3" s="1"/>
  <c r="R12" i="3"/>
  <c r="S12" i="3" s="1"/>
  <c r="R68" i="3"/>
  <c r="S68" i="3" s="1"/>
  <c r="R67" i="3"/>
  <c r="S67" i="3" s="1"/>
  <c r="R83" i="3"/>
  <c r="S83" i="3" s="1"/>
  <c r="O345" i="3"/>
  <c r="P345" i="3" s="1"/>
  <c r="L244" i="3"/>
  <c r="M244" i="3" s="1"/>
  <c r="O13" i="3"/>
  <c r="P13" i="3" s="1"/>
  <c r="L168" i="3"/>
  <c r="R313" i="3"/>
  <c r="S313" i="3" s="1"/>
  <c r="R416" i="3"/>
  <c r="S416" i="3" s="1"/>
  <c r="R345" i="3"/>
  <c r="S345" i="3" s="1"/>
  <c r="U150" i="3"/>
  <c r="V150" i="3" s="1"/>
  <c r="R324" i="3"/>
  <c r="S324" i="3" s="1"/>
  <c r="X26" i="3"/>
  <c r="I296" i="3"/>
  <c r="O190" i="3"/>
  <c r="P190" i="3" s="1"/>
  <c r="I233" i="3"/>
  <c r="J233" i="3" s="1"/>
  <c r="O95" i="3"/>
  <c r="P95" i="3" s="1"/>
  <c r="I342" i="3"/>
  <c r="J342" i="3" s="1"/>
  <c r="L211" i="3"/>
  <c r="I238" i="3"/>
  <c r="J238" i="3" s="1"/>
  <c r="R372" i="3"/>
  <c r="S372" i="3" s="1"/>
  <c r="X361" i="3"/>
  <c r="R390" i="3"/>
  <c r="S390" i="3" s="1"/>
  <c r="X386" i="3"/>
  <c r="L213" i="3"/>
  <c r="I55" i="3"/>
  <c r="J55" i="3" s="1"/>
  <c r="X221" i="3"/>
  <c r="X93" i="3"/>
  <c r="U416" i="3"/>
  <c r="V416" i="3" s="1"/>
  <c r="X285" i="3"/>
  <c r="I345" i="3"/>
  <c r="J345" i="3" s="1"/>
  <c r="L141" i="3"/>
  <c r="R115" i="3"/>
  <c r="S115" i="3" s="1"/>
  <c r="I74" i="3"/>
  <c r="J74" i="3" s="1"/>
  <c r="U368" i="3"/>
  <c r="V368" i="3" s="1"/>
  <c r="U324" i="3"/>
  <c r="V324" i="3" s="1"/>
  <c r="U271" i="3"/>
  <c r="V271" i="3" s="1"/>
  <c r="L51" i="3"/>
  <c r="M51" i="3" s="1"/>
  <c r="X406" i="3"/>
  <c r="L362" i="3"/>
  <c r="M362" i="3" s="1"/>
  <c r="O308" i="3"/>
  <c r="P308" i="3" s="1"/>
  <c r="L157" i="3"/>
  <c r="R358" i="3"/>
  <c r="S358" i="3" s="1"/>
  <c r="O398" i="3"/>
  <c r="P398" i="3" s="1"/>
  <c r="I408" i="3"/>
  <c r="J408" i="3" s="1"/>
  <c r="I349" i="3"/>
  <c r="J349" i="3" s="1"/>
  <c r="X238" i="3"/>
  <c r="I412" i="3"/>
  <c r="J412" i="3" s="1"/>
  <c r="L167" i="3"/>
  <c r="U185" i="3"/>
  <c r="V185" i="3" s="1"/>
  <c r="L64" i="3"/>
  <c r="M64" i="3" s="1"/>
  <c r="L57" i="3"/>
  <c r="L330" i="3"/>
  <c r="M330" i="3" s="1"/>
  <c r="U88" i="3"/>
  <c r="V88" i="3" s="1"/>
  <c r="U372" i="3"/>
  <c r="V372" i="3" s="1"/>
  <c r="U351" i="3"/>
  <c r="V351" i="3" s="1"/>
  <c r="L390" i="3"/>
  <c r="M390" i="3" s="1"/>
  <c r="I394" i="3"/>
  <c r="J394" i="3" s="1"/>
  <c r="I320" i="3"/>
  <c r="J320" i="3" s="1"/>
  <c r="L236" i="3"/>
  <c r="I386" i="3"/>
  <c r="J386" i="3" s="1"/>
  <c r="O144" i="3"/>
  <c r="P144" i="3" s="1"/>
  <c r="R165" i="3"/>
  <c r="S165" i="3" s="1"/>
  <c r="L45" i="3"/>
  <c r="M45" i="3" s="1"/>
  <c r="X268" i="3"/>
  <c r="I359" i="3"/>
  <c r="J359" i="3" s="1"/>
  <c r="U176" i="3"/>
  <c r="V176" i="3" s="1"/>
  <c r="L310" i="3"/>
  <c r="O123" i="3"/>
  <c r="P123" i="3" s="1"/>
  <c r="O264" i="3"/>
  <c r="P264" i="3" s="1"/>
  <c r="O38" i="3"/>
  <c r="P38" i="3" s="1"/>
  <c r="O298" i="3"/>
  <c r="P298" i="3" s="1"/>
  <c r="I90" i="3"/>
  <c r="J90" i="3" s="1"/>
  <c r="L284" i="3"/>
  <c r="O234" i="3"/>
  <c r="P234" i="3" s="1"/>
  <c r="X300" i="3"/>
  <c r="L142" i="3"/>
  <c r="M142" i="3" s="1"/>
  <c r="U29" i="3"/>
  <c r="L361" i="3"/>
  <c r="M361" i="3" s="1"/>
  <c r="R222" i="3"/>
  <c r="S222" i="3" s="1"/>
  <c r="O274" i="3"/>
  <c r="P274" i="3" s="1"/>
  <c r="R403" i="3"/>
  <c r="S403" i="3" s="1"/>
  <c r="X267" i="3"/>
  <c r="X223" i="3"/>
  <c r="X126" i="3"/>
  <c r="U315" i="3"/>
  <c r="V315" i="3" s="1"/>
  <c r="U214" i="3"/>
  <c r="V214" i="3" s="1"/>
  <c r="O179" i="3"/>
  <c r="P179" i="3" s="1"/>
  <c r="R339" i="3"/>
  <c r="S339" i="3" s="1"/>
  <c r="U385" i="3"/>
  <c r="V385" i="3" s="1"/>
  <c r="O138" i="3"/>
  <c r="P138" i="3" s="1"/>
  <c r="O282" i="3"/>
  <c r="P282" i="3" s="1"/>
  <c r="I371" i="3"/>
  <c r="J371" i="3" s="1"/>
  <c r="O104" i="3"/>
  <c r="P104" i="3" s="1"/>
  <c r="L270" i="3"/>
  <c r="M270" i="3" s="1"/>
  <c r="U43" i="3"/>
  <c r="R287" i="3"/>
  <c r="S287" i="3" s="1"/>
  <c r="X80" i="3"/>
  <c r="L370" i="3"/>
  <c r="M370" i="3" s="1"/>
  <c r="L299" i="3"/>
  <c r="M299" i="3" s="1"/>
  <c r="X255" i="3"/>
  <c r="L27" i="3"/>
  <c r="R106" i="3"/>
  <c r="S106" i="3" s="1"/>
  <c r="I131" i="3"/>
  <c r="J131" i="3" s="1"/>
  <c r="X366" i="3"/>
  <c r="X234" i="3"/>
  <c r="I173" i="3"/>
  <c r="J173" i="3" s="1"/>
  <c r="I343" i="3"/>
  <c r="J343" i="3" s="1"/>
  <c r="R104" i="3"/>
  <c r="S104" i="3" s="1"/>
  <c r="L411" i="3"/>
  <c r="M411" i="3" s="1"/>
  <c r="X90" i="3"/>
  <c r="L110" i="3"/>
  <c r="M110" i="3" s="1"/>
  <c r="L410" i="3"/>
  <c r="M410" i="3" s="1"/>
  <c r="I358" i="3"/>
  <c r="J358" i="3" s="1"/>
  <c r="X398" i="3"/>
  <c r="X308" i="3"/>
  <c r="I310" i="3"/>
  <c r="J310" i="3" s="1"/>
  <c r="O184" i="3"/>
  <c r="P184" i="3" s="1"/>
  <c r="L191" i="3"/>
  <c r="X119" i="3"/>
  <c r="L295" i="3"/>
  <c r="M295" i="3" s="1"/>
  <c r="R192" i="3"/>
  <c r="S192" i="3" s="1"/>
  <c r="U116" i="3"/>
  <c r="V116" i="3" s="1"/>
  <c r="I226" i="3"/>
  <c r="J226" i="3" s="1"/>
  <c r="X22" i="3"/>
  <c r="O107" i="3"/>
  <c r="P107" i="3" s="1"/>
  <c r="L175" i="3"/>
  <c r="U367" i="3"/>
  <c r="V367" i="3" s="1"/>
  <c r="X131" i="3"/>
  <c r="U234" i="3"/>
  <c r="V234" i="3" s="1"/>
  <c r="U278" i="3"/>
  <c r="V278" i="3" s="1"/>
  <c r="X392" i="3"/>
  <c r="O401" i="3"/>
  <c r="P401" i="3" s="1"/>
  <c r="O119" i="3"/>
  <c r="P119" i="3" s="1"/>
  <c r="U415" i="3"/>
  <c r="V415" i="3" s="1"/>
  <c r="X113" i="3"/>
  <c r="X407" i="3"/>
  <c r="L73" i="3"/>
  <c r="M73" i="3" s="1"/>
  <c r="I366" i="3"/>
  <c r="J366" i="3" s="1"/>
  <c r="X87" i="3"/>
  <c r="U163" i="3"/>
  <c r="V163" i="3" s="1"/>
  <c r="U257" i="3"/>
  <c r="V257" i="3" s="1"/>
  <c r="O23" i="3"/>
  <c r="P23" i="3" s="1"/>
  <c r="U297" i="3"/>
  <c r="V297" i="3" s="1"/>
  <c r="X354" i="3"/>
  <c r="I156" i="3"/>
  <c r="J156" i="3" s="1"/>
  <c r="L273" i="3"/>
  <c r="M273" i="3" s="1"/>
  <c r="O405" i="3"/>
  <c r="P405" i="3" s="1"/>
  <c r="I367" i="3"/>
  <c r="J367" i="3" s="1"/>
  <c r="X353" i="3"/>
  <c r="L209" i="3"/>
  <c r="O220" i="3"/>
  <c r="P220" i="3" s="1"/>
  <c r="U198" i="3"/>
  <c r="V198" i="3" s="1"/>
  <c r="U193" i="3"/>
  <c r="V193" i="3" s="1"/>
  <c r="U333" i="3"/>
  <c r="V333" i="3" s="1"/>
  <c r="L312" i="3"/>
  <c r="M312" i="3" s="1"/>
  <c r="U139" i="3"/>
  <c r="V139" i="3" s="1"/>
  <c r="I410" i="3"/>
  <c r="J410" i="3" s="1"/>
  <c r="R146" i="3"/>
  <c r="S146" i="3" s="1"/>
  <c r="X194" i="3"/>
  <c r="U131" i="3"/>
  <c r="U202" i="3"/>
  <c r="V202" i="3" s="1"/>
  <c r="R388" i="3"/>
  <c r="S388" i="3" s="1"/>
  <c r="I108" i="3"/>
  <c r="J108" i="3" s="1"/>
  <c r="X295" i="3"/>
  <c r="O366" i="3"/>
  <c r="P366" i="3" s="1"/>
  <c r="R100" i="3"/>
  <c r="S100" i="3" s="1"/>
  <c r="O312" i="3"/>
  <c r="P312" i="3" s="1"/>
  <c r="L65" i="3"/>
  <c r="M65" i="3" s="1"/>
  <c r="R241" i="3"/>
  <c r="S241" i="3" s="1"/>
  <c r="L78" i="3"/>
  <c r="M78" i="3" s="1"/>
  <c r="U249" i="3"/>
  <c r="V249" i="3" s="1"/>
  <c r="X164" i="3"/>
  <c r="X21" i="3"/>
  <c r="O70" i="3"/>
  <c r="P70" i="3" s="1"/>
  <c r="X230" i="3"/>
  <c r="R314" i="3"/>
  <c r="S314" i="3" s="1"/>
  <c r="X105" i="3"/>
  <c r="R309" i="3"/>
  <c r="S309" i="3" s="1"/>
  <c r="U96" i="3"/>
  <c r="V96" i="3" s="1"/>
  <c r="I346" i="3"/>
  <c r="J346" i="3" s="1"/>
  <c r="X198" i="3"/>
  <c r="U87" i="3"/>
  <c r="V87" i="3" s="1"/>
  <c r="L400" i="3"/>
  <c r="M400" i="3" s="1"/>
  <c r="O87" i="3"/>
  <c r="P87" i="3" s="1"/>
  <c r="X356" i="3"/>
  <c r="L163" i="3"/>
  <c r="L232" i="3"/>
  <c r="R400" i="3"/>
  <c r="S400" i="3" s="1"/>
  <c r="O197" i="3"/>
  <c r="P197" i="3" s="1"/>
  <c r="O356" i="3"/>
  <c r="P356" i="3" s="1"/>
  <c r="R6" i="3"/>
  <c r="S6" i="3" s="1"/>
  <c r="O313" i="3"/>
  <c r="P313" i="3" s="1"/>
  <c r="R332" i="3"/>
  <c r="S332" i="3" s="1"/>
  <c r="O241" i="3"/>
  <c r="P241" i="3" s="1"/>
  <c r="U172" i="3"/>
  <c r="V172" i="3" s="1"/>
  <c r="O316" i="3"/>
  <c r="P316" i="3" s="1"/>
  <c r="O408" i="3"/>
  <c r="P408" i="3" s="1"/>
  <c r="U400" i="3"/>
  <c r="V400" i="3" s="1"/>
  <c r="I100" i="3"/>
  <c r="L368" i="3"/>
  <c r="M368" i="3" s="1"/>
  <c r="U332" i="3"/>
  <c r="V332" i="3" s="1"/>
  <c r="O240" i="3"/>
  <c r="P240" i="3" s="1"/>
  <c r="X71" i="3"/>
  <c r="O393" i="3"/>
  <c r="P393" i="3" s="1"/>
  <c r="L412" i="3"/>
  <c r="M412" i="3" s="1"/>
  <c r="X185" i="3"/>
  <c r="U303" i="3"/>
  <c r="V303" i="3" s="1"/>
  <c r="U93" i="3"/>
  <c r="V93" i="3" s="1"/>
  <c r="X391" i="3"/>
  <c r="X275" i="3"/>
  <c r="U247" i="3"/>
  <c r="V247" i="3" s="1"/>
  <c r="U374" i="3"/>
  <c r="V374" i="3" s="1"/>
  <c r="X182" i="3"/>
  <c r="I323" i="3"/>
  <c r="J323" i="3" s="1"/>
  <c r="R262" i="3"/>
  <c r="S262" i="3" s="1"/>
  <c r="R365" i="3"/>
  <c r="S365" i="3" s="1"/>
  <c r="X197" i="3"/>
  <c r="L115" i="3"/>
  <c r="M115" i="3" s="1"/>
  <c r="L260" i="3"/>
  <c r="M260" i="3" s="1"/>
  <c r="X42" i="3"/>
  <c r="R362" i="3"/>
  <c r="S362" i="3" s="1"/>
  <c r="X296" i="3"/>
  <c r="L190" i="3"/>
  <c r="L71" i="3"/>
  <c r="M71" i="3" s="1"/>
  <c r="L414" i="3"/>
  <c r="M414" i="3" s="1"/>
  <c r="I26" i="3"/>
  <c r="J26" i="3" s="1"/>
  <c r="O42" i="3"/>
  <c r="P42" i="3" s="1"/>
  <c r="I400" i="3"/>
  <c r="J400" i="3" s="1"/>
  <c r="O210" i="3"/>
  <c r="P210" i="3" s="1"/>
  <c r="I160" i="3"/>
  <c r="J160" i="3" s="1"/>
  <c r="I106" i="3"/>
  <c r="J106" i="3" s="1"/>
  <c r="O195" i="3"/>
  <c r="P195" i="3" s="1"/>
  <c r="I271" i="3"/>
  <c r="J271" i="3" s="1"/>
  <c r="U362" i="3"/>
  <c r="V362" i="3" s="1"/>
  <c r="X118" i="3"/>
  <c r="X414" i="3"/>
  <c r="R393" i="3"/>
  <c r="S393" i="3" s="1"/>
  <c r="O349" i="3"/>
  <c r="P349" i="3" s="1"/>
  <c r="X412" i="3"/>
  <c r="X167" i="3"/>
  <c r="R64" i="3"/>
  <c r="S64" i="3" s="1"/>
  <c r="I303" i="3"/>
  <c r="J303" i="3" s="1"/>
  <c r="O92" i="3"/>
  <c r="P92" i="3" s="1"/>
  <c r="R88" i="3"/>
  <c r="S88" i="3" s="1"/>
  <c r="O351" i="3"/>
  <c r="P351" i="3" s="1"/>
  <c r="X394" i="3"/>
  <c r="O236" i="3"/>
  <c r="P236" i="3" s="1"/>
  <c r="R54" i="3"/>
  <c r="S54" i="3" s="1"/>
  <c r="U317" i="3"/>
  <c r="V317" i="3" s="1"/>
  <c r="U58" i="3"/>
  <c r="X149" i="3"/>
  <c r="O69" i="3"/>
  <c r="P69" i="3" s="1"/>
  <c r="L416" i="3"/>
  <c r="M416" i="3" s="1"/>
  <c r="I210" i="3"/>
  <c r="J210" i="3" s="1"/>
  <c r="O160" i="3"/>
  <c r="P160" i="3" s="1"/>
  <c r="I205" i="3"/>
  <c r="J205" i="3" s="1"/>
  <c r="X324" i="3"/>
  <c r="O271" i="3"/>
  <c r="P271" i="3" s="1"/>
  <c r="X292" i="3"/>
  <c r="R50" i="3"/>
  <c r="S50" i="3" s="1"/>
  <c r="X7" i="3"/>
  <c r="U24" i="3"/>
  <c r="V24" i="3" s="1"/>
  <c r="O358" i="3"/>
  <c r="P358" i="3" s="1"/>
  <c r="U103" i="3"/>
  <c r="V103" i="3" s="1"/>
  <c r="R398" i="3"/>
  <c r="S398" i="3" s="1"/>
  <c r="L360" i="3"/>
  <c r="M360" i="3" s="1"/>
  <c r="L349" i="3"/>
  <c r="M349" i="3" s="1"/>
  <c r="L238" i="3"/>
  <c r="M238" i="3" s="1"/>
  <c r="I188" i="3"/>
  <c r="J188" i="3" s="1"/>
  <c r="O167" i="3"/>
  <c r="P167" i="3" s="1"/>
  <c r="L185" i="3"/>
  <c r="M185" i="3" s="1"/>
  <c r="U64" i="3"/>
  <c r="V64" i="3" s="1"/>
  <c r="X301" i="3"/>
  <c r="U330" i="3"/>
  <c r="V330" i="3" s="1"/>
  <c r="I25" i="3"/>
  <c r="J25" i="3" s="1"/>
  <c r="O372" i="3"/>
  <c r="P372" i="3" s="1"/>
  <c r="R101" i="3"/>
  <c r="S101" i="3" s="1"/>
  <c r="X12" i="3"/>
  <c r="O390" i="3"/>
  <c r="P390" i="3" s="1"/>
  <c r="X311" i="3"/>
  <c r="L320" i="3"/>
  <c r="M320" i="3" s="1"/>
  <c r="X236" i="3"/>
  <c r="L186" i="3"/>
  <c r="M186" i="3" s="1"/>
  <c r="L359" i="3"/>
  <c r="M359" i="3" s="1"/>
  <c r="X176" i="3"/>
  <c r="O328" i="3"/>
  <c r="P328" i="3" s="1"/>
  <c r="O310" i="3"/>
  <c r="P310" i="3" s="1"/>
  <c r="O18" i="3"/>
  <c r="P18" i="3" s="1"/>
  <c r="R213" i="3"/>
  <c r="S213" i="3" s="1"/>
  <c r="L264" i="3"/>
  <c r="M264" i="3" s="1"/>
  <c r="I38" i="3"/>
  <c r="J38" i="3" s="1"/>
  <c r="R298" i="3"/>
  <c r="S298" i="3" s="1"/>
  <c r="L382" i="3"/>
  <c r="M382" i="3" s="1"/>
  <c r="O284" i="3"/>
  <c r="P284" i="3" s="1"/>
  <c r="I234" i="3"/>
  <c r="J234" i="3" s="1"/>
  <c r="I300" i="3"/>
  <c r="J300" i="3" s="1"/>
  <c r="O142" i="3"/>
  <c r="P142" i="3" s="1"/>
  <c r="O114" i="3"/>
  <c r="P114" i="3" s="1"/>
  <c r="X181" i="3"/>
  <c r="L251" i="3"/>
  <c r="L207" i="3"/>
  <c r="M207" i="3" s="1"/>
  <c r="L278" i="3"/>
  <c r="R191" i="3"/>
  <c r="S191" i="3" s="1"/>
  <c r="R274" i="3"/>
  <c r="S274" i="3" s="1"/>
  <c r="O392" i="3"/>
  <c r="P392" i="3" s="1"/>
  <c r="R267" i="3"/>
  <c r="S267" i="3" s="1"/>
  <c r="I223" i="3"/>
  <c r="J223" i="3" s="1"/>
  <c r="U79" i="3"/>
  <c r="X315" i="3"/>
  <c r="X214" i="3"/>
  <c r="I119" i="3"/>
  <c r="J119" i="3" s="1"/>
  <c r="U339" i="3"/>
  <c r="V339" i="3" s="1"/>
  <c r="U177" i="3"/>
  <c r="V177" i="3" s="1"/>
  <c r="X186" i="3"/>
  <c r="I83" i="3"/>
  <c r="J83" i="3" s="1"/>
  <c r="I180" i="3"/>
  <c r="J180" i="3" s="1"/>
  <c r="L13" i="3"/>
  <c r="U30" i="3"/>
  <c r="R225" i="3"/>
  <c r="S225" i="3" s="1"/>
  <c r="L371" i="3"/>
  <c r="M371" i="3" s="1"/>
  <c r="I104" i="3"/>
  <c r="J104" i="3" s="1"/>
  <c r="O270" i="3"/>
  <c r="P270" i="3" s="1"/>
  <c r="X43" i="3"/>
  <c r="U258" i="3"/>
  <c r="V258" i="3" s="1"/>
  <c r="L14" i="3"/>
  <c r="M14" i="3" s="1"/>
  <c r="U411" i="3"/>
  <c r="V411" i="3" s="1"/>
  <c r="U370" i="3"/>
  <c r="V370" i="3" s="1"/>
  <c r="O299" i="3"/>
  <c r="P299" i="3" s="1"/>
  <c r="L255" i="3"/>
  <c r="M255" i="3" s="1"/>
  <c r="L124" i="3"/>
  <c r="M124" i="3" s="1"/>
  <c r="O32" i="3"/>
  <c r="P32" i="3" s="1"/>
  <c r="X402" i="3"/>
  <c r="X205" i="3"/>
  <c r="R66" i="3"/>
  <c r="S66" i="3" s="1"/>
  <c r="O213" i="3"/>
  <c r="P213" i="3" s="1"/>
  <c r="X112" i="3"/>
  <c r="I401" i="3"/>
  <c r="J401" i="3" s="1"/>
  <c r="O102" i="3"/>
  <c r="P102" i="3" s="1"/>
  <c r="I413" i="3"/>
  <c r="J413" i="3" s="1"/>
  <c r="U69" i="3"/>
  <c r="V69" i="3" s="1"/>
  <c r="L164" i="3"/>
  <c r="I42" i="3"/>
  <c r="J42" i="3" s="1"/>
  <c r="X280" i="3"/>
  <c r="R330" i="3"/>
  <c r="S330" i="3" s="1"/>
  <c r="X101" i="3"/>
  <c r="X169" i="3"/>
  <c r="X45" i="3"/>
  <c r="O105" i="3"/>
  <c r="P105" i="3" s="1"/>
  <c r="O373" i="3"/>
  <c r="P373" i="3" s="1"/>
  <c r="O306" i="3"/>
  <c r="P306" i="3" s="1"/>
  <c r="U227" i="3"/>
  <c r="V227" i="3" s="1"/>
  <c r="I35" i="3"/>
  <c r="J35" i="3" s="1"/>
  <c r="U132" i="3"/>
  <c r="V132" i="3" s="1"/>
  <c r="I286" i="3"/>
  <c r="J286" i="3" s="1"/>
  <c r="U256" i="3"/>
  <c r="V256" i="3" s="1"/>
  <c r="X128" i="3"/>
  <c r="U205" i="3"/>
  <c r="V205" i="3" s="1"/>
  <c r="L120" i="3"/>
  <c r="M120" i="3" s="1"/>
  <c r="I34" i="3"/>
  <c r="J34" i="3" s="1"/>
  <c r="I153" i="3"/>
  <c r="J153" i="3" s="1"/>
  <c r="O384" i="3"/>
  <c r="P384" i="3" s="1"/>
  <c r="I178" i="3"/>
  <c r="J178" i="3" s="1"/>
  <c r="R122" i="3"/>
  <c r="S122" i="3" s="1"/>
  <c r="O191" i="3"/>
  <c r="P191" i="3" s="1"/>
  <c r="L60" i="3"/>
  <c r="X263" i="3"/>
  <c r="R84" i="3"/>
  <c r="S84" i="3" s="1"/>
  <c r="L245" i="3"/>
  <c r="M245" i="3" s="1"/>
  <c r="O110" i="3"/>
  <c r="P110" i="3" s="1"/>
  <c r="O205" i="3"/>
  <c r="P205" i="3" s="1"/>
  <c r="R208" i="3"/>
  <c r="S208" i="3" s="1"/>
  <c r="R136" i="3"/>
  <c r="S136" i="3" s="1"/>
  <c r="O120" i="3"/>
  <c r="P120" i="3" s="1"/>
  <c r="U146" i="3"/>
  <c r="V146" i="3" s="1"/>
  <c r="X160" i="3"/>
  <c r="O178" i="3"/>
  <c r="P178" i="3" s="1"/>
  <c r="O399" i="3"/>
  <c r="P399" i="3" s="1"/>
  <c r="U387" i="3"/>
  <c r="V387" i="3" s="1"/>
  <c r="I250" i="3"/>
  <c r="J250" i="3" s="1"/>
  <c r="I392" i="3"/>
  <c r="J392" i="3" s="1"/>
  <c r="O318" i="3"/>
  <c r="P318" i="3" s="1"/>
  <c r="L113" i="3"/>
  <c r="M113" i="3" s="1"/>
  <c r="O272" i="3"/>
  <c r="P272" i="3" s="1"/>
  <c r="L242" i="3"/>
  <c r="M242" i="3" s="1"/>
  <c r="R81" i="3"/>
  <c r="S81" i="3" s="1"/>
  <c r="I241" i="3"/>
  <c r="J241" i="3" s="1"/>
  <c r="L322" i="3"/>
  <c r="L280" i="3"/>
  <c r="M280" i="3" s="1"/>
  <c r="U405" i="3"/>
  <c r="V405" i="3" s="1"/>
  <c r="R77" i="3"/>
  <c r="S77" i="3" s="1"/>
  <c r="U294" i="3"/>
  <c r="V294" i="3" s="1"/>
  <c r="L355" i="3"/>
  <c r="L250" i="3"/>
  <c r="X201" i="3"/>
  <c r="R277" i="3"/>
  <c r="S277" i="3" s="1"/>
  <c r="X261" i="3"/>
  <c r="X84" i="3"/>
  <c r="I375" i="3"/>
  <c r="J375" i="3" s="1"/>
  <c r="X52" i="3"/>
  <c r="O242" i="3"/>
  <c r="P242" i="3" s="1"/>
  <c r="U81" i="3"/>
  <c r="V81" i="3" s="1"/>
  <c r="O163" i="3"/>
  <c r="P163" i="3" s="1"/>
  <c r="I257" i="3"/>
  <c r="J257" i="3" s="1"/>
  <c r="R139" i="3"/>
  <c r="S139" i="3" s="1"/>
  <c r="U47" i="3"/>
  <c r="V47" i="3" s="1"/>
  <c r="X322" i="3"/>
  <c r="O46" i="3"/>
  <c r="P46" i="3" s="1"/>
  <c r="X405" i="3"/>
  <c r="I77" i="3"/>
  <c r="J77" i="3" s="1"/>
  <c r="X20" i="3"/>
  <c r="R51" i="3"/>
  <c r="S51" i="3" s="1"/>
  <c r="R118" i="3"/>
  <c r="S118" i="3" s="1"/>
  <c r="R250" i="3"/>
  <c r="S250" i="3" s="1"/>
  <c r="U277" i="3"/>
  <c r="V277" i="3" s="1"/>
  <c r="O132" i="3"/>
  <c r="P132" i="3" s="1"/>
  <c r="U237" i="3"/>
  <c r="V237" i="3" s="1"/>
  <c r="L100" i="3"/>
  <c r="X51" i="3"/>
  <c r="U327" i="3"/>
  <c r="V327" i="3" s="1"/>
  <c r="I161" i="3"/>
  <c r="J161" i="3" s="1"/>
  <c r="L296" i="3"/>
  <c r="R78" i="3"/>
  <c r="S78" i="3" s="1"/>
  <c r="X47" i="3"/>
  <c r="X417" i="3"/>
  <c r="R59" i="3"/>
  <c r="S59" i="3" s="1"/>
  <c r="X282" i="3"/>
  <c r="X397" i="3"/>
  <c r="U365" i="3"/>
  <c r="V365" i="3" s="1"/>
  <c r="O115" i="3"/>
  <c r="P115" i="3" s="1"/>
  <c r="U95" i="3"/>
  <c r="V95" i="3" s="1"/>
  <c r="X67" i="3"/>
  <c r="R167" i="3"/>
  <c r="S167" i="3" s="1"/>
  <c r="I177" i="3"/>
  <c r="J177" i="3" s="1"/>
  <c r="X376" i="3"/>
  <c r="U386" i="3"/>
  <c r="V386" i="3" s="1"/>
  <c r="U38" i="3"/>
  <c r="V38" i="3" s="1"/>
  <c r="I114" i="3"/>
  <c r="J114" i="3" s="1"/>
  <c r="R8" i="3"/>
  <c r="S8" i="3" s="1"/>
  <c r="L31" i="3"/>
  <c r="M31" i="3" s="1"/>
  <c r="O315" i="3"/>
  <c r="P315" i="3" s="1"/>
  <c r="X318" i="3"/>
  <c r="U406" i="3"/>
  <c r="V406" i="3" s="1"/>
  <c r="R240" i="3"/>
  <c r="S240" i="3" s="1"/>
  <c r="U140" i="3"/>
  <c r="V140" i="3" s="1"/>
  <c r="O134" i="3"/>
  <c r="P134" i="3" s="1"/>
  <c r="X138" i="3"/>
  <c r="X408" i="3"/>
  <c r="R185" i="3"/>
  <c r="S185" i="3" s="1"/>
  <c r="R357" i="3"/>
  <c r="S357" i="3" s="1"/>
  <c r="L144" i="3"/>
  <c r="M144" i="3" s="1"/>
  <c r="X58" i="3"/>
  <c r="L58" i="3"/>
  <c r="M58" i="3" s="1"/>
  <c r="I285" i="3"/>
  <c r="J285" i="3" s="1"/>
  <c r="R286" i="3"/>
  <c r="S286" i="3" s="1"/>
  <c r="L413" i="3"/>
  <c r="M413" i="3" s="1"/>
  <c r="U226" i="3"/>
  <c r="V226" i="3" s="1"/>
  <c r="U125" i="3"/>
  <c r="I254" i="3"/>
  <c r="J254" i="3" s="1"/>
  <c r="X168" i="3"/>
  <c r="L205" i="3"/>
  <c r="M205" i="3" s="1"/>
  <c r="O324" i="3"/>
  <c r="P324" i="3" s="1"/>
  <c r="R271" i="3"/>
  <c r="S271" i="3" s="1"/>
  <c r="U208" i="3"/>
  <c r="V208" i="3" s="1"/>
  <c r="X233" i="3"/>
  <c r="X99" i="3"/>
  <c r="I95" i="3"/>
  <c r="J95" i="3" s="1"/>
  <c r="L140" i="3"/>
  <c r="X136" i="3"/>
  <c r="O342" i="3"/>
  <c r="P342" i="3" s="1"/>
  <c r="R107" i="3"/>
  <c r="S107" i="3" s="1"/>
  <c r="X248" i="3"/>
  <c r="U358" i="3"/>
  <c r="V358" i="3" s="1"/>
  <c r="L40" i="3"/>
  <c r="M40" i="3" s="1"/>
  <c r="R42" i="3"/>
  <c r="S42" i="3" s="1"/>
  <c r="L398" i="3"/>
  <c r="M398" i="3" s="1"/>
  <c r="U360" i="3"/>
  <c r="V360" i="3" s="1"/>
  <c r="U349" i="3"/>
  <c r="V349" i="3" s="1"/>
  <c r="O238" i="3"/>
  <c r="P238" i="3" s="1"/>
  <c r="L188" i="3"/>
  <c r="I175" i="3"/>
  <c r="J175" i="3" s="1"/>
  <c r="O185" i="3"/>
  <c r="P185" i="3" s="1"/>
  <c r="X188" i="3"/>
  <c r="R273" i="3"/>
  <c r="S273" i="3" s="1"/>
  <c r="R303" i="3"/>
  <c r="S303" i="3" s="1"/>
  <c r="X36" i="3"/>
  <c r="X41" i="3"/>
  <c r="R331" i="3"/>
  <c r="S331" i="3" s="1"/>
  <c r="O187" i="3"/>
  <c r="P187" i="3" s="1"/>
  <c r="I330" i="3"/>
  <c r="J330" i="3" s="1"/>
  <c r="U52" i="3"/>
  <c r="V52" i="3" s="1"/>
  <c r="L372" i="3"/>
  <c r="M372" i="3" s="1"/>
  <c r="U101" i="3"/>
  <c r="V101" i="3" s="1"/>
  <c r="X293" i="3"/>
  <c r="X48" i="3"/>
  <c r="O66" i="3"/>
  <c r="P66" i="3" s="1"/>
  <c r="O359" i="3"/>
  <c r="P359" i="3" s="1"/>
  <c r="L129" i="3"/>
  <c r="M129" i="3" s="1"/>
  <c r="O131" i="3"/>
  <c r="P131" i="3" s="1"/>
  <c r="U310" i="3"/>
  <c r="V310" i="3" s="1"/>
  <c r="O26" i="3"/>
  <c r="P26" i="3" s="1"/>
  <c r="U213" i="3"/>
  <c r="V213" i="3" s="1"/>
  <c r="X264" i="3"/>
  <c r="L159" i="3"/>
  <c r="X122" i="3"/>
  <c r="O382" i="3"/>
  <c r="P382" i="3" s="1"/>
  <c r="L335" i="3"/>
  <c r="R284" i="3"/>
  <c r="S284" i="3" s="1"/>
  <c r="L234" i="3"/>
  <c r="I184" i="3"/>
  <c r="J184" i="3" s="1"/>
  <c r="R142" i="3"/>
  <c r="S142" i="3" s="1"/>
  <c r="R114" i="3"/>
  <c r="S114" i="3" s="1"/>
  <c r="I29" i="3"/>
  <c r="J29" i="3" s="1"/>
  <c r="X88" i="3"/>
  <c r="O307" i="3"/>
  <c r="P307" i="3" s="1"/>
  <c r="X200" i="3"/>
  <c r="R207" i="3"/>
  <c r="S207" i="3" s="1"/>
  <c r="L49" i="3"/>
  <c r="M49" i="3" s="1"/>
  <c r="O377" i="3"/>
  <c r="P377" i="3" s="1"/>
  <c r="U326" i="3"/>
  <c r="V326" i="3" s="1"/>
  <c r="U191" i="3"/>
  <c r="V191" i="3" s="1"/>
  <c r="U274" i="3"/>
  <c r="V274" i="3" s="1"/>
  <c r="L392" i="3"/>
  <c r="M392" i="3" s="1"/>
  <c r="U267" i="3"/>
  <c r="V267" i="3" s="1"/>
  <c r="L223" i="3"/>
  <c r="M223" i="3" s="1"/>
  <c r="R315" i="3"/>
  <c r="S315" i="3" s="1"/>
  <c r="L214" i="3"/>
  <c r="L119" i="3"/>
  <c r="M119" i="3" s="1"/>
  <c r="I339" i="3"/>
  <c r="J339" i="3" s="1"/>
  <c r="O15" i="3"/>
  <c r="P15" i="3" s="1"/>
  <c r="I230" i="3"/>
  <c r="J230" i="3" s="1"/>
  <c r="L102" i="3"/>
  <c r="X276" i="3"/>
  <c r="X83" i="3"/>
  <c r="O221" i="3"/>
  <c r="P221" i="3" s="1"/>
  <c r="X30" i="3"/>
  <c r="U225" i="3"/>
  <c r="V225" i="3" s="1"/>
  <c r="R371" i="3"/>
  <c r="S371" i="3" s="1"/>
  <c r="L104" i="3"/>
  <c r="M104" i="3" s="1"/>
  <c r="R270" i="3"/>
  <c r="S270" i="3" s="1"/>
  <c r="O68" i="3"/>
  <c r="P68" i="3" s="1"/>
  <c r="X370" i="3"/>
  <c r="O302" i="3"/>
  <c r="P302" i="3" s="1"/>
  <c r="U124" i="3"/>
  <c r="V124" i="3" s="1"/>
  <c r="R32" i="3"/>
  <c r="S32" i="3" s="1"/>
  <c r="L69" i="3"/>
  <c r="M69" i="3" s="1"/>
  <c r="R15" i="3"/>
  <c r="S15" i="3" s="1"/>
  <c r="O411" i="3"/>
  <c r="P411" i="3" s="1"/>
  <c r="L340" i="3"/>
  <c r="M340" i="3" s="1"/>
  <c r="R299" i="3"/>
  <c r="S299" i="3" s="1"/>
  <c r="O255" i="3"/>
  <c r="P255" i="3" s="1"/>
  <c r="O192" i="3"/>
  <c r="P192" i="3" s="1"/>
  <c r="X174" i="3"/>
  <c r="L215" i="3"/>
  <c r="X32" i="3"/>
  <c r="U97" i="3"/>
  <c r="V97" i="3" s="1"/>
  <c r="R198" i="3"/>
  <c r="S198" i="3" s="1"/>
  <c r="O148" i="3"/>
  <c r="P148" i="3" s="1"/>
  <c r="R261" i="3"/>
  <c r="S261" i="3" s="1"/>
  <c r="I84" i="3"/>
  <c r="J84" i="3" s="1"/>
  <c r="U35" i="3"/>
  <c r="U106" i="3"/>
  <c r="V106" i="3" s="1"/>
  <c r="U383" i="3"/>
  <c r="V383" i="3" s="1"/>
  <c r="U196" i="3"/>
  <c r="V196" i="3" s="1"/>
  <c r="U381" i="3"/>
  <c r="V381" i="3" s="1"/>
  <c r="O338" i="3"/>
  <c r="P338" i="3" s="1"/>
  <c r="L75" i="3"/>
  <c r="M75" i="3" s="1"/>
  <c r="O375" i="3"/>
  <c r="P375" i="3" s="1"/>
  <c r="L276" i="3"/>
  <c r="M276" i="3" s="1"/>
  <c r="U170" i="3"/>
  <c r="V170" i="3" s="1"/>
  <c r="O319" i="3"/>
  <c r="P319" i="3" s="1"/>
  <c r="L225" i="3"/>
  <c r="M225" i="3" s="1"/>
  <c r="X272" i="3"/>
  <c r="U104" i="3"/>
  <c r="V104" i="3" s="1"/>
  <c r="U270" i="3"/>
  <c r="V270" i="3" s="1"/>
  <c r="L43" i="3"/>
  <c r="M43" i="3" s="1"/>
  <c r="O287" i="3"/>
  <c r="P287" i="3" s="1"/>
  <c r="R411" i="3"/>
  <c r="S411" i="3" s="1"/>
  <c r="O340" i="3"/>
  <c r="P340" i="3" s="1"/>
  <c r="U347" i="3"/>
  <c r="R255" i="3"/>
  <c r="S255" i="3" s="1"/>
  <c r="U192" i="3"/>
  <c r="V192" i="3" s="1"/>
  <c r="R302" i="3"/>
  <c r="S302" i="3" s="1"/>
  <c r="R215" i="3"/>
  <c r="S215" i="3" s="1"/>
  <c r="L32" i="3"/>
  <c r="M32" i="3" s="1"/>
  <c r="X27" i="3"/>
  <c r="X97" i="3"/>
  <c r="L202" i="3"/>
  <c r="M202" i="3" s="1"/>
  <c r="U184" i="3"/>
  <c r="V184" i="3" s="1"/>
  <c r="O122" i="3"/>
  <c r="P122" i="3" s="1"/>
  <c r="X29" i="3"/>
  <c r="L307" i="3"/>
  <c r="I251" i="3"/>
  <c r="I207" i="3"/>
  <c r="J207" i="3" s="1"/>
  <c r="L171" i="3"/>
  <c r="M171" i="3" s="1"/>
  <c r="O409" i="3"/>
  <c r="P409" i="3" s="1"/>
  <c r="I201" i="3"/>
  <c r="J201" i="3" s="1"/>
  <c r="L18" i="3"/>
  <c r="U220" i="3"/>
  <c r="R96" i="3"/>
  <c r="S96" i="3" s="1"/>
  <c r="U173" i="3"/>
  <c r="V173" i="3" s="1"/>
  <c r="U392" i="3"/>
  <c r="V392" i="3" s="1"/>
  <c r="U216" i="3"/>
  <c r="V216" i="3" s="1"/>
  <c r="O223" i="3"/>
  <c r="P223" i="3" s="1"/>
  <c r="L401" i="3"/>
  <c r="I289" i="3"/>
  <c r="J289" i="3" s="1"/>
  <c r="O214" i="3"/>
  <c r="P214" i="3" s="1"/>
  <c r="U119" i="3"/>
  <c r="V119" i="3" s="1"/>
  <c r="L339" i="3"/>
  <c r="M339" i="3" s="1"/>
  <c r="O67" i="3"/>
  <c r="P67" i="3" s="1"/>
  <c r="L385" i="3"/>
  <c r="M385" i="3" s="1"/>
  <c r="U329" i="3"/>
  <c r="V329" i="3" s="1"/>
  <c r="I269" i="3"/>
  <c r="J269" i="3" s="1"/>
  <c r="I235" i="3"/>
  <c r="J235" i="3" s="1"/>
  <c r="R148" i="3"/>
  <c r="S148" i="3" s="1"/>
  <c r="U261" i="3"/>
  <c r="V261" i="3" s="1"/>
  <c r="O89" i="3"/>
  <c r="P89" i="3" s="1"/>
  <c r="R35" i="3"/>
  <c r="S35" i="3" s="1"/>
  <c r="I196" i="3"/>
  <c r="J196" i="3" s="1"/>
  <c r="L381" i="3"/>
  <c r="M381" i="3" s="1"/>
  <c r="I304" i="3"/>
  <c r="J304" i="3" s="1"/>
  <c r="X338" i="3"/>
  <c r="R75" i="3"/>
  <c r="S75" i="3" s="1"/>
  <c r="U375" i="3"/>
  <c r="V375" i="3" s="1"/>
  <c r="X170" i="3"/>
  <c r="X319" i="3"/>
  <c r="O225" i="3"/>
  <c r="P225" i="3" s="1"/>
  <c r="L272" i="3"/>
  <c r="U15" i="3"/>
  <c r="I193" i="3"/>
  <c r="J193" i="3" s="1"/>
  <c r="O43" i="3"/>
  <c r="P43" i="3" s="1"/>
  <c r="I411" i="3"/>
  <c r="J411" i="3" s="1"/>
  <c r="X347" i="3"/>
  <c r="U255" i="3"/>
  <c r="V255" i="3" s="1"/>
  <c r="X192" i="3"/>
  <c r="L302" i="3"/>
  <c r="O215" i="3"/>
  <c r="P215" i="3" s="1"/>
  <c r="U32" i="3"/>
  <c r="U27" i="3"/>
  <c r="L97" i="3"/>
  <c r="M97" i="3" s="1"/>
  <c r="R350" i="3"/>
  <c r="S350" i="3" s="1"/>
  <c r="I218" i="3"/>
  <c r="I93" i="3"/>
  <c r="J93" i="3" s="1"/>
  <c r="U153" i="3"/>
  <c r="V153" i="3" s="1"/>
  <c r="L367" i="3"/>
  <c r="M367" i="3" s="1"/>
  <c r="O212" i="3"/>
  <c r="P212" i="3" s="1"/>
  <c r="L101" i="3"/>
  <c r="M101" i="3" s="1"/>
  <c r="R19" i="3"/>
  <c r="S19" i="3" s="1"/>
  <c r="U390" i="3"/>
  <c r="V390" i="3" s="1"/>
  <c r="I311" i="3"/>
  <c r="O320" i="3"/>
  <c r="P320" i="3" s="1"/>
  <c r="I236" i="3"/>
  <c r="J236" i="3" s="1"/>
  <c r="I186" i="3"/>
  <c r="J186" i="3" s="1"/>
  <c r="R144" i="3"/>
  <c r="S144" i="3" s="1"/>
  <c r="U165" i="3"/>
  <c r="V165" i="3" s="1"/>
  <c r="O45" i="3"/>
  <c r="P45" i="3" s="1"/>
  <c r="U28" i="3"/>
  <c r="L314" i="3"/>
  <c r="M314" i="3" s="1"/>
  <c r="R243" i="3"/>
  <c r="S243" i="3" s="1"/>
  <c r="X39" i="3"/>
  <c r="O294" i="3"/>
  <c r="P294" i="3" s="1"/>
  <c r="U20" i="3"/>
  <c r="I231" i="3"/>
  <c r="J231" i="3" s="1"/>
  <c r="I373" i="3"/>
  <c r="J373" i="3" s="1"/>
  <c r="L76" i="3"/>
  <c r="U264" i="3"/>
  <c r="V264" i="3" s="1"/>
  <c r="U298" i="3"/>
  <c r="V298" i="3" s="1"/>
  <c r="U56" i="3"/>
  <c r="V56" i="3" s="1"/>
  <c r="O199" i="3"/>
  <c r="P199" i="3" s="1"/>
  <c r="R355" i="3"/>
  <c r="S355" i="3" s="1"/>
  <c r="I306" i="3"/>
  <c r="J306" i="3" s="1"/>
  <c r="X202" i="3"/>
  <c r="L152" i="3"/>
  <c r="O209" i="3"/>
  <c r="P209" i="3" s="1"/>
  <c r="I17" i="3"/>
  <c r="J17" i="3" s="1"/>
  <c r="O91" i="3"/>
  <c r="P91" i="3" s="1"/>
  <c r="U307" i="3"/>
  <c r="I200" i="3"/>
  <c r="J200" i="3" s="1"/>
  <c r="O207" i="3"/>
  <c r="P207" i="3" s="1"/>
  <c r="O361" i="3"/>
  <c r="P361" i="3" s="1"/>
  <c r="X377" i="3"/>
  <c r="R323" i="3"/>
  <c r="S323" i="3" s="1"/>
  <c r="I222" i="3"/>
  <c r="J222" i="3" s="1"/>
  <c r="L336" i="3"/>
  <c r="M336" i="3" s="1"/>
  <c r="I219" i="3"/>
  <c r="J219" i="3" s="1"/>
  <c r="I96" i="3"/>
  <c r="J96" i="3" s="1"/>
  <c r="O173" i="3"/>
  <c r="P173" i="3" s="1"/>
  <c r="U291" i="3"/>
  <c r="V291" i="3" s="1"/>
  <c r="L216" i="3"/>
  <c r="I60" i="3"/>
  <c r="R401" i="3"/>
  <c r="S401" i="3" s="1"/>
  <c r="X289" i="3"/>
  <c r="R263" i="3"/>
  <c r="S263" i="3" s="1"/>
  <c r="R119" i="3"/>
  <c r="S119" i="3" s="1"/>
  <c r="U117" i="3"/>
  <c r="O106" i="3"/>
  <c r="P106" i="3" s="1"/>
  <c r="R7" i="3"/>
  <c r="S7" i="3" s="1"/>
  <c r="R385" i="3"/>
  <c r="S385" i="3" s="1"/>
  <c r="I364" i="3"/>
  <c r="J364" i="3" s="1"/>
  <c r="X343" i="3"/>
  <c r="L269" i="3"/>
  <c r="U138" i="3"/>
  <c r="V138" i="3" s="1"/>
  <c r="L261" i="3"/>
  <c r="M261" i="3" s="1"/>
  <c r="U89" i="3"/>
  <c r="V89" i="3" s="1"/>
  <c r="L16" i="3"/>
  <c r="M16" i="3" s="1"/>
  <c r="X344" i="3"/>
  <c r="R196" i="3"/>
  <c r="S196" i="3" s="1"/>
  <c r="I381" i="3"/>
  <c r="J381" i="3" s="1"/>
  <c r="X217" i="3"/>
  <c r="R259" i="3"/>
  <c r="S259" i="3" s="1"/>
  <c r="X75" i="3"/>
  <c r="L418" i="3"/>
  <c r="M418" i="3" s="1"/>
  <c r="R276" i="3"/>
  <c r="S276" i="3" s="1"/>
  <c r="R319" i="3"/>
  <c r="S319" i="3" s="1"/>
  <c r="X237" i="3"/>
  <c r="U272" i="3"/>
  <c r="V272" i="3" s="1"/>
  <c r="O73" i="3"/>
  <c r="P73" i="3" s="1"/>
  <c r="X258" i="3"/>
  <c r="U379" i="3"/>
  <c r="V379" i="3" s="1"/>
  <c r="I347" i="3"/>
  <c r="J347" i="3" s="1"/>
  <c r="U292" i="3"/>
  <c r="V292" i="3" s="1"/>
  <c r="I229" i="3"/>
  <c r="J229" i="3" s="1"/>
  <c r="X302" i="3"/>
  <c r="X124" i="3"/>
  <c r="O27" i="3"/>
  <c r="P27" i="3" s="1"/>
  <c r="I155" i="3"/>
  <c r="J155" i="3" s="1"/>
  <c r="L150" i="3"/>
  <c r="R334" i="3"/>
  <c r="S334" i="3" s="1"/>
  <c r="U260" i="3"/>
  <c r="V260" i="3" s="1"/>
  <c r="I312" i="3"/>
  <c r="J312" i="3" s="1"/>
  <c r="U80" i="3"/>
  <c r="U21" i="3"/>
  <c r="V21" i="3" s="1"/>
  <c r="L59" i="3"/>
  <c r="M59" i="3" s="1"/>
  <c r="L271" i="3"/>
  <c r="M271" i="3" s="1"/>
  <c r="O40" i="3"/>
  <c r="P40" i="3" s="1"/>
  <c r="L42" i="3"/>
  <c r="M42" i="3" s="1"/>
  <c r="I406" i="3"/>
  <c r="J406" i="3" s="1"/>
  <c r="O362" i="3"/>
  <c r="P362" i="3" s="1"/>
  <c r="R308" i="3"/>
  <c r="U240" i="3"/>
  <c r="V240" i="3" s="1"/>
  <c r="R190" i="3"/>
  <c r="S190" i="3" s="1"/>
  <c r="R233" i="3"/>
  <c r="S233" i="3" s="1"/>
  <c r="R71" i="3"/>
  <c r="S71" i="3" s="1"/>
  <c r="R95" i="3"/>
  <c r="S95" i="3" s="1"/>
  <c r="L5" i="3"/>
  <c r="M5" i="3" s="1"/>
  <c r="X140" i="3"/>
  <c r="I414" i="3"/>
  <c r="J414" i="3" s="1"/>
  <c r="L342" i="3"/>
  <c r="M342" i="3" s="1"/>
  <c r="R134" i="3"/>
  <c r="S134" i="3" s="1"/>
  <c r="O24" i="3"/>
  <c r="P24" i="3" s="1"/>
  <c r="R157" i="3"/>
  <c r="S157" i="3" s="1"/>
  <c r="R316" i="3"/>
  <c r="S316" i="3" s="1"/>
  <c r="I94" i="3"/>
  <c r="J94" i="3" s="1"/>
  <c r="R369" i="3"/>
  <c r="S369" i="3" s="1"/>
  <c r="O44" i="3"/>
  <c r="P44" i="3" s="1"/>
  <c r="L354" i="3"/>
  <c r="M354" i="3" s="1"/>
  <c r="X46" i="3"/>
  <c r="O56" i="3"/>
  <c r="P56" i="3" s="1"/>
  <c r="O402" i="3"/>
  <c r="P402" i="3" s="1"/>
  <c r="X360" i="3"/>
  <c r="O280" i="3"/>
  <c r="P280" i="3" s="1"/>
  <c r="I206" i="3"/>
  <c r="J206" i="3" s="1"/>
  <c r="U188" i="3"/>
  <c r="V188" i="3" s="1"/>
  <c r="U175" i="3"/>
  <c r="V175" i="3" s="1"/>
  <c r="L127" i="3"/>
  <c r="M127" i="3" s="1"/>
  <c r="U357" i="3"/>
  <c r="V357" i="3" s="1"/>
  <c r="L303" i="3"/>
  <c r="U301" i="3"/>
  <c r="O48" i="3"/>
  <c r="P48" i="3" s="1"/>
  <c r="I92" i="3"/>
  <c r="J92" i="3" s="1"/>
  <c r="U350" i="3"/>
  <c r="V350" i="3" s="1"/>
  <c r="R218" i="3"/>
  <c r="S218" i="3" s="1"/>
  <c r="R93" i="3"/>
  <c r="S93" i="3" s="1"/>
  <c r="X153" i="3"/>
  <c r="L212" i="3"/>
  <c r="R61" i="3"/>
  <c r="S61" i="3" s="1"/>
  <c r="U19" i="3"/>
  <c r="V19" i="3" s="1"/>
  <c r="X390" i="3"/>
  <c r="U311" i="3"/>
  <c r="V311" i="3" s="1"/>
  <c r="R396" i="3"/>
  <c r="S396" i="3" s="1"/>
  <c r="R236" i="3"/>
  <c r="S236" i="3" s="1"/>
  <c r="O186" i="3"/>
  <c r="P186" i="3" s="1"/>
  <c r="R169" i="3"/>
  <c r="S169" i="3" s="1"/>
  <c r="L165" i="3"/>
  <c r="M165" i="3" s="1"/>
  <c r="R45" i="3"/>
  <c r="S45" i="3" s="1"/>
  <c r="R268" i="3"/>
  <c r="S268" i="3" s="1"/>
  <c r="U243" i="3"/>
  <c r="V243" i="3" s="1"/>
  <c r="L39" i="3"/>
  <c r="M39" i="3" s="1"/>
  <c r="X294" i="3"/>
  <c r="O20" i="3"/>
  <c r="P20" i="3" s="1"/>
  <c r="R231" i="3"/>
  <c r="S231" i="3" s="1"/>
  <c r="R373" i="3"/>
  <c r="S373" i="3" s="1"/>
  <c r="O76" i="3"/>
  <c r="P76" i="3" s="1"/>
  <c r="I264" i="3"/>
  <c r="J264" i="3" s="1"/>
  <c r="I399" i="3"/>
  <c r="J399" i="3" s="1"/>
  <c r="X298" i="3"/>
  <c r="O389" i="3"/>
  <c r="P389" i="3" s="1"/>
  <c r="X355" i="3"/>
  <c r="L352" i="3"/>
  <c r="M352" i="3" s="1"/>
  <c r="O253" i="3"/>
  <c r="P253" i="3" s="1"/>
  <c r="I202" i="3"/>
  <c r="J202" i="3" s="1"/>
  <c r="O152" i="3"/>
  <c r="P152" i="3" s="1"/>
  <c r="O133" i="3"/>
  <c r="P133" i="3" s="1"/>
  <c r="I122" i="3"/>
  <c r="J122" i="3" s="1"/>
  <c r="O17" i="3"/>
  <c r="P17" i="3" s="1"/>
  <c r="O387" i="3"/>
  <c r="P387" i="3" s="1"/>
  <c r="I307" i="3"/>
  <c r="L200" i="3"/>
  <c r="M200" i="3" s="1"/>
  <c r="R361" i="3"/>
  <c r="S361" i="3" s="1"/>
  <c r="I377" i="3"/>
  <c r="J377" i="3" s="1"/>
  <c r="U323" i="3"/>
  <c r="V323" i="3" s="1"/>
  <c r="L222" i="3"/>
  <c r="M222" i="3" s="1"/>
  <c r="I181" i="3"/>
  <c r="J181" i="3" s="1"/>
  <c r="L219" i="3"/>
  <c r="L96" i="3"/>
  <c r="M96" i="3" s="1"/>
  <c r="X291" i="3"/>
  <c r="R216" i="3"/>
  <c r="S216" i="3" s="1"/>
  <c r="O60" i="3"/>
  <c r="P60" i="3" s="1"/>
  <c r="I353" i="3"/>
  <c r="J353" i="3" s="1"/>
  <c r="L289" i="3"/>
  <c r="M289" i="3" s="1"/>
  <c r="U263" i="3"/>
  <c r="V263" i="3" s="1"/>
  <c r="I10" i="3"/>
  <c r="J10" i="3" s="1"/>
  <c r="X117" i="3"/>
  <c r="U147" i="3"/>
  <c r="V147" i="3" s="1"/>
  <c r="O7" i="3"/>
  <c r="P7" i="3" s="1"/>
  <c r="O363" i="3"/>
  <c r="P363" i="3" s="1"/>
  <c r="L364" i="3"/>
  <c r="M364" i="3" s="1"/>
  <c r="O343" i="3"/>
  <c r="P343" i="3" s="1"/>
  <c r="O230" i="3"/>
  <c r="P230" i="3" s="1"/>
  <c r="L235" i="3"/>
  <c r="X82" i="3"/>
  <c r="O16" i="3"/>
  <c r="P16" i="3" s="1"/>
  <c r="L344" i="3"/>
  <c r="M344" i="3" s="1"/>
  <c r="R381" i="3"/>
  <c r="S381" i="3" s="1"/>
  <c r="I217" i="3"/>
  <c r="J217" i="3" s="1"/>
  <c r="U259" i="3"/>
  <c r="V259" i="3" s="1"/>
  <c r="O75" i="3"/>
  <c r="P75" i="3" s="1"/>
  <c r="O418" i="3"/>
  <c r="P418" i="3" s="1"/>
  <c r="U276" i="3"/>
  <c r="V276" i="3" s="1"/>
  <c r="U149" i="3"/>
  <c r="V149" i="3" s="1"/>
  <c r="U319" i="3"/>
  <c r="V319" i="3" s="1"/>
  <c r="I237" i="3"/>
  <c r="I203" i="3"/>
  <c r="J203" i="3" s="1"/>
  <c r="O337" i="3"/>
  <c r="P337" i="3" s="1"/>
  <c r="O193" i="3"/>
  <c r="P193" i="3" s="1"/>
  <c r="R73" i="3"/>
  <c r="S73" i="3" s="1"/>
  <c r="I258" i="3"/>
  <c r="J258" i="3" s="1"/>
  <c r="X379" i="3"/>
  <c r="O325" i="3"/>
  <c r="P325" i="3" s="1"/>
  <c r="L347" i="3"/>
  <c r="M347" i="3" s="1"/>
  <c r="I292" i="3"/>
  <c r="J292" i="3" s="1"/>
  <c r="U229" i="3"/>
  <c r="V229" i="3" s="1"/>
  <c r="I302" i="3"/>
  <c r="J302" i="3" s="1"/>
  <c r="I124" i="3"/>
  <c r="J124" i="3" s="1"/>
  <c r="I33" i="3"/>
  <c r="J33" i="3" s="1"/>
  <c r="R27" i="3"/>
  <c r="S27" i="3" s="1"/>
  <c r="O155" i="3"/>
  <c r="P155" i="3" s="1"/>
  <c r="R74" i="3"/>
  <c r="S74" i="3" s="1"/>
  <c r="O416" i="3"/>
  <c r="P416" i="3" s="1"/>
  <c r="U285" i="3"/>
  <c r="V285" i="3" s="1"/>
  <c r="L345" i="3"/>
  <c r="M345" i="3" s="1"/>
  <c r="X210" i="3"/>
  <c r="L160" i="3"/>
  <c r="O244" i="3"/>
  <c r="P244" i="3" s="1"/>
  <c r="I115" i="3"/>
  <c r="J115" i="3" s="1"/>
  <c r="U74" i="3"/>
  <c r="O150" i="3"/>
  <c r="P150" i="3" s="1"/>
  <c r="U334" i="3"/>
  <c r="V334" i="3" s="1"/>
  <c r="R13" i="3"/>
  <c r="S13" i="3" s="1"/>
  <c r="I260" i="3"/>
  <c r="J260" i="3" s="1"/>
  <c r="I125" i="3"/>
  <c r="J125" i="3" s="1"/>
  <c r="L254" i="3"/>
  <c r="M254" i="3" s="1"/>
  <c r="O168" i="3"/>
  <c r="P168" i="3" s="1"/>
  <c r="O368" i="3"/>
  <c r="P368" i="3" s="1"/>
  <c r="O59" i="3"/>
  <c r="P59" i="3" s="1"/>
  <c r="I145" i="3"/>
  <c r="J145" i="3" s="1"/>
  <c r="L143" i="3"/>
  <c r="M143" i="3" s="1"/>
  <c r="U25" i="3"/>
  <c r="V25" i="3" s="1"/>
  <c r="L34" i="3"/>
  <c r="M34" i="3" s="1"/>
  <c r="O380" i="3"/>
  <c r="P380" i="3" s="1"/>
  <c r="X362" i="3"/>
  <c r="L308" i="3"/>
  <c r="O208" i="3"/>
  <c r="P208" i="3" s="1"/>
  <c r="U190" i="3"/>
  <c r="V190" i="3" s="1"/>
  <c r="U233" i="3"/>
  <c r="V233" i="3" s="1"/>
  <c r="I99" i="3"/>
  <c r="J99" i="3" s="1"/>
  <c r="L95" i="3"/>
  <c r="M95" i="3" s="1"/>
  <c r="R5" i="3"/>
  <c r="S5" i="3" s="1"/>
  <c r="I140" i="3"/>
  <c r="J140" i="3" s="1"/>
  <c r="U136" i="3"/>
  <c r="V136" i="3" s="1"/>
  <c r="X342" i="3"/>
  <c r="R24" i="3"/>
  <c r="S24" i="3" s="1"/>
  <c r="U157" i="3"/>
  <c r="V157" i="3" s="1"/>
  <c r="I211" i="3"/>
  <c r="J211" i="3" s="1"/>
  <c r="O94" i="3"/>
  <c r="P94" i="3" s="1"/>
  <c r="L248" i="3"/>
  <c r="M248" i="3" s="1"/>
  <c r="R44" i="3"/>
  <c r="S44" i="3" s="1"/>
  <c r="U162" i="3"/>
  <c r="V162" i="3" s="1"/>
  <c r="I46" i="3"/>
  <c r="J46" i="3" s="1"/>
  <c r="R147" i="3"/>
  <c r="S147" i="3" s="1"/>
  <c r="O3" i="3"/>
  <c r="P3" i="3" s="1"/>
  <c r="R402" i="3"/>
  <c r="S402" i="3" s="1"/>
  <c r="I360" i="3"/>
  <c r="J360" i="3" s="1"/>
  <c r="R280" i="3"/>
  <c r="S280" i="3" s="1"/>
  <c r="U206" i="3"/>
  <c r="V206" i="3" s="1"/>
  <c r="O127" i="3"/>
  <c r="P127" i="3" s="1"/>
  <c r="I64" i="3"/>
  <c r="J64" i="3" s="1"/>
  <c r="O273" i="3"/>
  <c r="P273" i="3" s="1"/>
  <c r="O303" i="3"/>
  <c r="P303" i="3" s="1"/>
  <c r="I301" i="3"/>
  <c r="J301" i="3" s="1"/>
  <c r="R48" i="3"/>
  <c r="S48" i="3" s="1"/>
  <c r="L92" i="3"/>
  <c r="M92" i="3" s="1"/>
  <c r="I350" i="3"/>
  <c r="J350" i="3" s="1"/>
  <c r="I187" i="3"/>
  <c r="J187" i="3" s="1"/>
  <c r="L153" i="3"/>
  <c r="R367" i="3"/>
  <c r="S367" i="3" s="1"/>
  <c r="U212" i="3"/>
  <c r="V212" i="3" s="1"/>
  <c r="L61" i="3"/>
  <c r="M61" i="3" s="1"/>
  <c r="U159" i="3"/>
  <c r="V159" i="3" s="1"/>
  <c r="I390" i="3"/>
  <c r="J390" i="3" s="1"/>
  <c r="L311" i="3"/>
  <c r="O396" i="3"/>
  <c r="P396" i="3" s="1"/>
  <c r="U236" i="3"/>
  <c r="V236" i="3" s="1"/>
  <c r="R186" i="3"/>
  <c r="S186" i="3" s="1"/>
  <c r="U169" i="3"/>
  <c r="V169" i="3" s="1"/>
  <c r="O165" i="3"/>
  <c r="P165" i="3" s="1"/>
  <c r="U45" i="3"/>
  <c r="I268" i="3"/>
  <c r="J268" i="3" s="1"/>
  <c r="O39" i="3"/>
  <c r="P39" i="3" s="1"/>
  <c r="I294" i="3"/>
  <c r="J294" i="3" s="1"/>
  <c r="R20" i="3"/>
  <c r="S20" i="3" s="1"/>
  <c r="O321" i="3"/>
  <c r="P321" i="3" s="1"/>
  <c r="L231" i="3"/>
  <c r="O293" i="3"/>
  <c r="P293" i="3" s="1"/>
  <c r="U76" i="3"/>
  <c r="V76" i="3" s="1"/>
  <c r="R183" i="3"/>
  <c r="S183" i="3" s="1"/>
  <c r="L399" i="3"/>
  <c r="M399" i="3" s="1"/>
  <c r="I298" i="3"/>
  <c r="J298" i="3" s="1"/>
  <c r="U389" i="3"/>
  <c r="V389" i="3" s="1"/>
  <c r="U355" i="3"/>
  <c r="V355" i="3" s="1"/>
  <c r="O352" i="3"/>
  <c r="P352" i="3" s="1"/>
  <c r="X253" i="3"/>
  <c r="R202" i="3"/>
  <c r="S202" i="3" s="1"/>
  <c r="U152" i="3"/>
  <c r="V152" i="3" s="1"/>
  <c r="L133" i="3"/>
  <c r="M133" i="3" s="1"/>
  <c r="L122" i="3"/>
  <c r="M122" i="3" s="1"/>
  <c r="U17" i="3"/>
  <c r="V17" i="3" s="1"/>
  <c r="L387" i="3"/>
  <c r="M387" i="3" s="1"/>
  <c r="R307" i="3"/>
  <c r="S307" i="3" s="1"/>
  <c r="O200" i="3"/>
  <c r="P200" i="3" s="1"/>
  <c r="I98" i="3"/>
  <c r="J98" i="3" s="1"/>
  <c r="U361" i="3"/>
  <c r="V361" i="3" s="1"/>
  <c r="I49" i="3"/>
  <c r="J49" i="3" s="1"/>
  <c r="L377" i="3"/>
  <c r="M377" i="3" s="1"/>
  <c r="I278" i="3"/>
  <c r="J278" i="3" s="1"/>
  <c r="O222" i="3"/>
  <c r="P222" i="3" s="1"/>
  <c r="R181" i="3"/>
  <c r="S181" i="3" s="1"/>
  <c r="R336" i="3"/>
  <c r="S336" i="3" s="1"/>
  <c r="R219" i="3"/>
  <c r="S219" i="3" s="1"/>
  <c r="L52" i="3"/>
  <c r="I291" i="3"/>
  <c r="J291" i="3" s="1"/>
  <c r="I166" i="3"/>
  <c r="J166" i="3" s="1"/>
  <c r="U60" i="3"/>
  <c r="R289" i="3"/>
  <c r="S289" i="3" s="1"/>
  <c r="I263" i="3"/>
  <c r="J263" i="3" s="1"/>
  <c r="L10" i="3"/>
  <c r="M10" i="3" s="1"/>
  <c r="I117" i="3"/>
  <c r="J117" i="3" s="1"/>
  <c r="L7" i="3"/>
  <c r="U363" i="3"/>
  <c r="V363" i="3" s="1"/>
  <c r="O364" i="3"/>
  <c r="P364" i="3" s="1"/>
  <c r="R343" i="3"/>
  <c r="S343" i="3" s="1"/>
  <c r="O235" i="3"/>
  <c r="P235" i="3" s="1"/>
  <c r="L138" i="3"/>
  <c r="M138" i="3" s="1"/>
  <c r="U82" i="3"/>
  <c r="I89" i="3"/>
  <c r="J89" i="3" s="1"/>
  <c r="O344" i="3"/>
  <c r="P344" i="3" s="1"/>
  <c r="I189" i="3"/>
  <c r="J189" i="3" s="1"/>
  <c r="O341" i="3"/>
  <c r="L217" i="3"/>
  <c r="X259" i="3"/>
  <c r="R418" i="3"/>
  <c r="S418" i="3" s="1"/>
  <c r="I221" i="3"/>
  <c r="J221" i="3" s="1"/>
  <c r="I149" i="3"/>
  <c r="J149" i="3" s="1"/>
  <c r="L237" i="3"/>
  <c r="L203" i="3"/>
  <c r="M203" i="3" s="1"/>
  <c r="X337" i="3"/>
  <c r="R193" i="3"/>
  <c r="S193" i="3" s="1"/>
  <c r="U73" i="3"/>
  <c r="V73" i="3" s="1"/>
  <c r="R258" i="3"/>
  <c r="S258" i="3" s="1"/>
  <c r="I379" i="3"/>
  <c r="J379" i="3" s="1"/>
  <c r="L325" i="3"/>
  <c r="M325" i="3" s="1"/>
  <c r="I290" i="3"/>
  <c r="J290" i="3" s="1"/>
  <c r="L292" i="3"/>
  <c r="M292" i="3" s="1"/>
  <c r="R229" i="3"/>
  <c r="S229" i="3" s="1"/>
  <c r="I151" i="3"/>
  <c r="J151" i="3" s="1"/>
  <c r="O124" i="3"/>
  <c r="P124" i="3" s="1"/>
  <c r="L33" i="3"/>
  <c r="M33" i="3" s="1"/>
  <c r="R155" i="3"/>
  <c r="S155" i="3" s="1"/>
  <c r="L149" i="3"/>
  <c r="R282" i="3"/>
  <c r="S282" i="3" s="1"/>
  <c r="O237" i="3"/>
  <c r="P237" i="3" s="1"/>
  <c r="R203" i="3"/>
  <c r="S203" i="3" s="1"/>
  <c r="R337" i="3"/>
  <c r="S337" i="3" s="1"/>
  <c r="L130" i="3"/>
  <c r="M130" i="3" s="1"/>
  <c r="L258" i="3"/>
  <c r="M258" i="3" s="1"/>
  <c r="U13" i="3"/>
  <c r="V13" i="3" s="1"/>
  <c r="R379" i="3"/>
  <c r="S379" i="3" s="1"/>
  <c r="I325" i="3"/>
  <c r="J325" i="3" s="1"/>
  <c r="L290" i="3"/>
  <c r="M290" i="3" s="1"/>
  <c r="O151" i="3"/>
  <c r="P151" i="3" s="1"/>
  <c r="R124" i="3"/>
  <c r="S124" i="3" s="1"/>
  <c r="O33" i="3"/>
  <c r="P33" i="3" s="1"/>
  <c r="U155" i="3"/>
  <c r="V155" i="3" s="1"/>
  <c r="R189" i="3"/>
  <c r="S189" i="3" s="1"/>
  <c r="O217" i="3"/>
  <c r="P217" i="3" s="1"/>
  <c r="O34" i="3"/>
  <c r="P34" i="3" s="1"/>
  <c r="U418" i="3"/>
  <c r="V418" i="3" s="1"/>
  <c r="O397" i="3"/>
  <c r="P397" i="3" s="1"/>
  <c r="I416" i="3"/>
  <c r="J416" i="3" s="1"/>
  <c r="L285" i="3"/>
  <c r="M285" i="3" s="1"/>
  <c r="O286" i="3"/>
  <c r="P286" i="3" s="1"/>
  <c r="R210" i="3"/>
  <c r="S210" i="3" s="1"/>
  <c r="U160" i="3"/>
  <c r="V160" i="3" s="1"/>
  <c r="O141" i="3"/>
  <c r="P141" i="3" s="1"/>
  <c r="U115" i="3"/>
  <c r="O74" i="3"/>
  <c r="P74" i="3" s="1"/>
  <c r="O5" i="3"/>
  <c r="P5" i="3" s="1"/>
  <c r="I150" i="3"/>
  <c r="J150" i="3" s="1"/>
  <c r="X195" i="3"/>
  <c r="U413" i="3"/>
  <c r="V413" i="3" s="1"/>
  <c r="O260" i="3"/>
  <c r="P260" i="3" s="1"/>
  <c r="X125" i="3"/>
  <c r="O254" i="3"/>
  <c r="P254" i="3" s="1"/>
  <c r="I168" i="3"/>
  <c r="J168" i="3" s="1"/>
  <c r="U143" i="3"/>
  <c r="V143" i="3" s="1"/>
  <c r="R56" i="3"/>
  <c r="S56" i="3" s="1"/>
  <c r="U380" i="3"/>
  <c r="V380" i="3" s="1"/>
  <c r="L283" i="3"/>
  <c r="M283" i="3" s="1"/>
  <c r="X208" i="3"/>
  <c r="I158" i="3"/>
  <c r="J158" i="3" s="1"/>
  <c r="L233" i="3"/>
  <c r="L99" i="3"/>
  <c r="L23" i="3"/>
  <c r="M23" i="3" s="1"/>
  <c r="R378" i="3"/>
  <c r="S378" i="3" s="1"/>
  <c r="O140" i="3"/>
  <c r="P140" i="3" s="1"/>
  <c r="I136" i="3"/>
  <c r="J136" i="3" s="1"/>
  <c r="R342" i="3"/>
  <c r="S342" i="3" s="1"/>
  <c r="I297" i="3"/>
  <c r="J297" i="3" s="1"/>
  <c r="X24" i="3"/>
  <c r="U37" i="3"/>
  <c r="R211" i="3"/>
  <c r="S211" i="3" s="1"/>
  <c r="U248" i="3"/>
  <c r="V248" i="3" s="1"/>
  <c r="L162" i="3"/>
  <c r="M162" i="3" s="1"/>
  <c r="R199" i="3"/>
  <c r="S199" i="3" s="1"/>
  <c r="L402" i="3"/>
  <c r="M402" i="3" s="1"/>
  <c r="I281" i="3"/>
  <c r="J281" i="3" s="1"/>
  <c r="I280" i="3"/>
  <c r="J280" i="3" s="1"/>
  <c r="L206" i="3"/>
  <c r="M206" i="3" s="1"/>
  <c r="L156" i="3"/>
  <c r="O175" i="3"/>
  <c r="P175" i="3" s="1"/>
  <c r="R127" i="3"/>
  <c r="S127" i="3" s="1"/>
  <c r="O9" i="3"/>
  <c r="P9" i="3" s="1"/>
  <c r="U273" i="3"/>
  <c r="V273" i="3" s="1"/>
  <c r="L146" i="3"/>
  <c r="M146" i="3" s="1"/>
  <c r="L301" i="3"/>
  <c r="O266" i="3"/>
  <c r="P266" i="3" s="1"/>
  <c r="U92" i="3"/>
  <c r="V92" i="3" s="1"/>
  <c r="O350" i="3"/>
  <c r="P350" i="3" s="1"/>
  <c r="U187" i="3"/>
  <c r="V187" i="3" s="1"/>
  <c r="I88" i="3"/>
  <c r="J88" i="3" s="1"/>
  <c r="L376" i="3"/>
  <c r="M376" i="3" s="1"/>
  <c r="R212" i="3"/>
  <c r="S212" i="3" s="1"/>
  <c r="L56" i="3"/>
  <c r="M56" i="3" s="1"/>
  <c r="U57" i="3"/>
  <c r="L384" i="3"/>
  <c r="M384" i="3" s="1"/>
  <c r="R311" i="3"/>
  <c r="S311" i="3" s="1"/>
  <c r="L396" i="3"/>
  <c r="M396" i="3" s="1"/>
  <c r="O204" i="3"/>
  <c r="P204" i="3" s="1"/>
  <c r="I169" i="3"/>
  <c r="J169" i="3" s="1"/>
  <c r="U111" i="3"/>
  <c r="I45" i="3"/>
  <c r="J45" i="3" s="1"/>
  <c r="X147" i="3"/>
  <c r="L268" i="3"/>
  <c r="M268" i="3" s="1"/>
  <c r="U66" i="3"/>
  <c r="V66" i="3" s="1"/>
  <c r="R39" i="3"/>
  <c r="S39" i="3" s="1"/>
  <c r="L176" i="3"/>
  <c r="M176" i="3" s="1"/>
  <c r="I328" i="3"/>
  <c r="J328" i="3" s="1"/>
  <c r="I321" i="3"/>
  <c r="J321" i="3" s="1"/>
  <c r="I123" i="3"/>
  <c r="J123" i="3" s="1"/>
  <c r="U293" i="3"/>
  <c r="V293" i="3" s="1"/>
  <c r="U183" i="3"/>
  <c r="V183" i="3" s="1"/>
  <c r="U399" i="3"/>
  <c r="V399" i="3" s="1"/>
  <c r="R335" i="3"/>
  <c r="S335" i="3" s="1"/>
  <c r="I352" i="3"/>
  <c r="J352" i="3" s="1"/>
  <c r="R253" i="3"/>
  <c r="S253" i="3" s="1"/>
  <c r="R300" i="3"/>
  <c r="S300" i="3" s="1"/>
  <c r="R133" i="3"/>
  <c r="S133" i="3" s="1"/>
  <c r="R17" i="3"/>
  <c r="S17" i="3" s="1"/>
  <c r="X387" i="3"/>
  <c r="R404" i="3"/>
  <c r="S404" i="3" s="1"/>
  <c r="R200" i="3"/>
  <c r="S200" i="3" s="1"/>
  <c r="U98" i="3"/>
  <c r="V98" i="3" s="1"/>
  <c r="I228" i="3"/>
  <c r="J228" i="3" s="1"/>
  <c r="O49" i="3"/>
  <c r="P49" i="3" s="1"/>
  <c r="U377" i="3"/>
  <c r="V377" i="3" s="1"/>
  <c r="X278" i="3"/>
  <c r="I227" i="3"/>
  <c r="J227" i="3" s="1"/>
  <c r="L181" i="3"/>
  <c r="M181" i="3" s="1"/>
  <c r="R326" i="3"/>
  <c r="S326" i="3" s="1"/>
  <c r="U403" i="3"/>
  <c r="V403" i="3" s="1"/>
  <c r="O291" i="3"/>
  <c r="P291" i="3" s="1"/>
  <c r="O166" i="3"/>
  <c r="P166" i="3" s="1"/>
  <c r="L126" i="3"/>
  <c r="M126" i="3" s="1"/>
  <c r="O353" i="3"/>
  <c r="P353" i="3" s="1"/>
  <c r="X262" i="3"/>
  <c r="O263" i="3"/>
  <c r="P263" i="3" s="1"/>
  <c r="O10" i="3"/>
  <c r="P10" i="3" s="1"/>
  <c r="O12" i="3"/>
  <c r="P12" i="3" s="1"/>
  <c r="X6" i="3"/>
  <c r="L91" i="3"/>
  <c r="M91" i="3" s="1"/>
  <c r="I363" i="3"/>
  <c r="J363" i="3" s="1"/>
  <c r="U305" i="3"/>
  <c r="V305" i="3" s="1"/>
  <c r="L343" i="3"/>
  <c r="M343" i="3" s="1"/>
  <c r="L230" i="3"/>
  <c r="L180" i="3"/>
  <c r="M180" i="3" s="1"/>
  <c r="R138" i="3"/>
  <c r="S138" i="3" s="1"/>
  <c r="L82" i="3"/>
  <c r="M82" i="3" s="1"/>
  <c r="R102" i="3"/>
  <c r="S102" i="3" s="1"/>
  <c r="R16" i="3"/>
  <c r="S16" i="3" s="1"/>
  <c r="U344" i="3"/>
  <c r="V344" i="3" s="1"/>
  <c r="U189" i="3"/>
  <c r="V189" i="3" s="1"/>
  <c r="R341" i="3"/>
  <c r="S341" i="3" s="1"/>
  <c r="I113" i="3"/>
  <c r="J113" i="3" s="1"/>
  <c r="O259" i="3"/>
  <c r="P259" i="3" s="1"/>
  <c r="O407" i="3"/>
  <c r="P407" i="3" s="1"/>
  <c r="X418" i="3"/>
  <c r="O30" i="3"/>
  <c r="P30" i="3" s="1"/>
  <c r="U282" i="3"/>
  <c r="V282" i="3" s="1"/>
  <c r="U203" i="3"/>
  <c r="V203" i="3" s="1"/>
  <c r="U337" i="3"/>
  <c r="V337" i="3" s="1"/>
  <c r="X130" i="3"/>
  <c r="I73" i="3"/>
  <c r="J73" i="3" s="1"/>
  <c r="O258" i="3"/>
  <c r="P258" i="3" s="1"/>
  <c r="R370" i="3"/>
  <c r="S370" i="3" s="1"/>
  <c r="R325" i="3"/>
  <c r="S325" i="3" s="1"/>
  <c r="O290" i="3"/>
  <c r="P290" i="3" s="1"/>
  <c r="O224" i="3"/>
  <c r="P224" i="3" s="1"/>
  <c r="L229" i="3"/>
  <c r="R151" i="3"/>
  <c r="S151" i="3" s="1"/>
  <c r="X109" i="3"/>
  <c r="R33" i="3"/>
  <c r="L155" i="3"/>
  <c r="R344" i="3"/>
  <c r="S344" i="3" s="1"/>
  <c r="X341" i="3"/>
  <c r="L259" i="3"/>
  <c r="M259" i="3" s="1"/>
  <c r="L221" i="3"/>
  <c r="M221" i="3" s="1"/>
  <c r="U397" i="3"/>
  <c r="V397" i="3" s="1"/>
  <c r="L366" i="3"/>
  <c r="M366" i="3" s="1"/>
  <c r="O285" i="3"/>
  <c r="P285" i="3" s="1"/>
  <c r="O245" i="3"/>
  <c r="P245" i="3" s="1"/>
  <c r="R160" i="3"/>
  <c r="S160" i="3" s="1"/>
  <c r="U141" i="3"/>
  <c r="V141" i="3" s="1"/>
  <c r="L116" i="3"/>
  <c r="I348" i="3"/>
  <c r="J348" i="3" s="1"/>
  <c r="R150" i="3"/>
  <c r="S150" i="3" s="1"/>
  <c r="I195" i="3"/>
  <c r="X413" i="3"/>
  <c r="R260" i="3"/>
  <c r="S260" i="3" s="1"/>
  <c r="L125" i="3"/>
  <c r="M125" i="3" s="1"/>
  <c r="R254" i="3"/>
  <c r="S254" i="3" s="1"/>
  <c r="R168" i="3"/>
  <c r="S168" i="3" s="1"/>
  <c r="I368" i="3"/>
  <c r="J368" i="3" s="1"/>
  <c r="R143" i="3"/>
  <c r="S143" i="3" s="1"/>
  <c r="O41" i="3"/>
  <c r="P41" i="3" s="1"/>
  <c r="L380" i="3"/>
  <c r="O283" i="3"/>
  <c r="P283" i="3" s="1"/>
  <c r="I308" i="3"/>
  <c r="J308" i="3" s="1"/>
  <c r="I208" i="3"/>
  <c r="J208" i="3" s="1"/>
  <c r="L158" i="3"/>
  <c r="O233" i="3"/>
  <c r="P233" i="3" s="1"/>
  <c r="O99" i="3"/>
  <c r="P99" i="3" s="1"/>
  <c r="I23" i="3"/>
  <c r="J23" i="3" s="1"/>
  <c r="O378" i="3"/>
  <c r="P378" i="3" s="1"/>
  <c r="R140" i="3"/>
  <c r="S140" i="3" s="1"/>
  <c r="L136" i="3"/>
  <c r="M136" i="3" s="1"/>
  <c r="U342" i="3"/>
  <c r="V342" i="3" s="1"/>
  <c r="X297" i="3"/>
  <c r="I24" i="3"/>
  <c r="J24" i="3" s="1"/>
  <c r="U211" i="3"/>
  <c r="V211" i="3" s="1"/>
  <c r="U107" i="3"/>
  <c r="V107" i="3" s="1"/>
  <c r="I248" i="3"/>
  <c r="J248" i="3" s="1"/>
  <c r="O162" i="3"/>
  <c r="P162" i="3" s="1"/>
  <c r="I393" i="3"/>
  <c r="J393" i="3" s="1"/>
  <c r="L281" i="3"/>
  <c r="M281" i="3" s="1"/>
  <c r="O252" i="3"/>
  <c r="P252" i="3" s="1"/>
  <c r="O206" i="3"/>
  <c r="P206" i="3" s="1"/>
  <c r="O156" i="3"/>
  <c r="P156" i="3" s="1"/>
  <c r="L137" i="3"/>
  <c r="M137" i="3" s="1"/>
  <c r="I273" i="3"/>
  <c r="J273" i="3" s="1"/>
  <c r="I146" i="3"/>
  <c r="J146" i="3" s="1"/>
  <c r="O301" i="3"/>
  <c r="P301" i="3" s="1"/>
  <c r="R266" i="3"/>
  <c r="S266" i="3" s="1"/>
  <c r="X350" i="3"/>
  <c r="X187" i="3"/>
  <c r="O19" i="3"/>
  <c r="P19" i="3" s="1"/>
  <c r="O88" i="3"/>
  <c r="P88" i="3" s="1"/>
  <c r="R376" i="3"/>
  <c r="S376" i="3" s="1"/>
  <c r="X351" i="3"/>
  <c r="I61" i="3"/>
  <c r="J61" i="3" s="1"/>
  <c r="O147" i="3"/>
  <c r="P147" i="3" s="1"/>
  <c r="R384" i="3"/>
  <c r="S384" i="3" s="1"/>
  <c r="L279" i="3"/>
  <c r="M279" i="3" s="1"/>
  <c r="X396" i="3"/>
  <c r="L204" i="3"/>
  <c r="M204" i="3" s="1"/>
  <c r="I154" i="3"/>
  <c r="L169" i="3"/>
  <c r="L111" i="3"/>
  <c r="M111" i="3" s="1"/>
  <c r="O268" i="3"/>
  <c r="P268" i="3" s="1"/>
  <c r="O176" i="3"/>
  <c r="P176" i="3" s="1"/>
  <c r="R328" i="3"/>
  <c r="S328" i="3" s="1"/>
  <c r="L321" i="3"/>
  <c r="R123" i="3"/>
  <c r="S123" i="3" s="1"/>
  <c r="X183" i="3"/>
  <c r="I389" i="3"/>
  <c r="J389" i="3" s="1"/>
  <c r="I335" i="3"/>
  <c r="X284" i="3"/>
  <c r="U253" i="3"/>
  <c r="V253" i="3" s="1"/>
  <c r="O300" i="3"/>
  <c r="P300" i="3" s="1"/>
  <c r="U142" i="3"/>
  <c r="V142" i="3" s="1"/>
  <c r="I118" i="3"/>
  <c r="J118" i="3" s="1"/>
  <c r="U8" i="3"/>
  <c r="V8" i="3" s="1"/>
  <c r="I387" i="3"/>
  <c r="J387" i="3" s="1"/>
  <c r="U404" i="3"/>
  <c r="V404" i="3" s="1"/>
  <c r="I182" i="3"/>
  <c r="J182" i="3" s="1"/>
  <c r="O98" i="3"/>
  <c r="P98" i="3" s="1"/>
  <c r="L228" i="3"/>
  <c r="M228" i="3" s="1"/>
  <c r="R49" i="3"/>
  <c r="S49" i="3" s="1"/>
  <c r="R377" i="3"/>
  <c r="S377" i="3" s="1"/>
  <c r="O278" i="3"/>
  <c r="P278" i="3" s="1"/>
  <c r="L227" i="3"/>
  <c r="M227" i="3" s="1"/>
  <c r="O181" i="3"/>
  <c r="P181" i="3" s="1"/>
  <c r="L326" i="3"/>
  <c r="M326" i="3" s="1"/>
  <c r="O219" i="3"/>
  <c r="P219" i="3" s="1"/>
  <c r="I274" i="3"/>
  <c r="J274" i="3" s="1"/>
  <c r="X403" i="3"/>
  <c r="R291" i="3"/>
  <c r="S291" i="3" s="1"/>
  <c r="R166" i="3"/>
  <c r="S166" i="3" s="1"/>
  <c r="R126" i="3"/>
  <c r="S126" i="3" s="1"/>
  <c r="R353" i="3"/>
  <c r="S353" i="3" s="1"/>
  <c r="I262" i="3"/>
  <c r="J262" i="3" s="1"/>
  <c r="I179" i="3"/>
  <c r="J179" i="3" s="1"/>
  <c r="R10" i="3"/>
  <c r="S10" i="3" s="1"/>
  <c r="X85" i="3"/>
  <c r="U417" i="3"/>
  <c r="V417" i="3" s="1"/>
  <c r="L363" i="3"/>
  <c r="M363" i="3" s="1"/>
  <c r="X305" i="3"/>
  <c r="I277" i="3"/>
  <c r="J277" i="3" s="1"/>
  <c r="R230" i="3"/>
  <c r="S230" i="3" s="1"/>
  <c r="O180" i="3"/>
  <c r="P180" i="3" s="1"/>
  <c r="U318" i="3"/>
  <c r="V318" i="3" s="1"/>
  <c r="O82" i="3"/>
  <c r="P82" i="3" s="1"/>
  <c r="U102" i="3"/>
  <c r="V102" i="3" s="1"/>
  <c r="U12" i="3"/>
  <c r="U85" i="3"/>
  <c r="O415" i="3"/>
  <c r="P415" i="3" s="1"/>
  <c r="L265" i="3"/>
  <c r="M265" i="3" s="1"/>
  <c r="L189" i="3"/>
  <c r="U341" i="3"/>
  <c r="V341" i="3" s="1"/>
  <c r="R113" i="3"/>
  <c r="S113" i="3" s="1"/>
  <c r="I259" i="3"/>
  <c r="J259" i="3" s="1"/>
  <c r="I407" i="3"/>
  <c r="J407" i="3" s="1"/>
  <c r="I418" i="3"/>
  <c r="J418" i="3" s="1"/>
  <c r="R221" i="3"/>
  <c r="S221" i="3" s="1"/>
  <c r="R30" i="3"/>
  <c r="S30" i="3" s="1"/>
  <c r="I282" i="3"/>
  <c r="J282" i="3" s="1"/>
  <c r="O371" i="3"/>
  <c r="P371" i="3" s="1"/>
  <c r="X203" i="3"/>
  <c r="I337" i="3"/>
  <c r="J337" i="3" s="1"/>
  <c r="U130" i="3"/>
  <c r="O72" i="3"/>
  <c r="P72" i="3" s="1"/>
  <c r="U18" i="3"/>
  <c r="V18" i="3" s="1"/>
  <c r="U91" i="3"/>
  <c r="V91" i="3" s="1"/>
  <c r="O370" i="3"/>
  <c r="P370" i="3" s="1"/>
  <c r="U325" i="3"/>
  <c r="V325" i="3" s="1"/>
  <c r="R290" i="3"/>
  <c r="S290" i="3" s="1"/>
  <c r="U224" i="3"/>
  <c r="V224" i="3" s="1"/>
  <c r="O229" i="3"/>
  <c r="P229" i="3" s="1"/>
  <c r="U151" i="3"/>
  <c r="V151" i="3" s="1"/>
  <c r="O109" i="3"/>
  <c r="P109" i="3" s="1"/>
  <c r="U33" i="3"/>
  <c r="R285" i="3"/>
  <c r="S285" i="3" s="1"/>
  <c r="U286" i="3"/>
  <c r="V286" i="3" s="1"/>
  <c r="R245" i="3"/>
  <c r="S245" i="3" s="1"/>
  <c r="R141" i="3"/>
  <c r="S141" i="3" s="1"/>
  <c r="O116" i="3"/>
  <c r="P116" i="3" s="1"/>
  <c r="L74" i="3"/>
  <c r="M74" i="3" s="1"/>
  <c r="X348" i="3"/>
  <c r="X150" i="3"/>
  <c r="L195" i="3"/>
  <c r="O413" i="3"/>
  <c r="P413" i="3" s="1"/>
  <c r="L226" i="3"/>
  <c r="M226" i="3" s="1"/>
  <c r="R125" i="3"/>
  <c r="S125" i="3" s="1"/>
  <c r="X254" i="3"/>
  <c r="U168" i="3"/>
  <c r="V168" i="3" s="1"/>
  <c r="R368" i="3"/>
  <c r="S368" i="3" s="1"/>
  <c r="I313" i="3"/>
  <c r="J313" i="3" s="1"/>
  <c r="X143" i="3"/>
  <c r="L395" i="3"/>
  <c r="M395" i="3" s="1"/>
  <c r="X380" i="3"/>
  <c r="U283" i="3"/>
  <c r="V283" i="3" s="1"/>
  <c r="R257" i="3"/>
  <c r="S257" i="3" s="1"/>
  <c r="L208" i="3"/>
  <c r="O158" i="3"/>
  <c r="P158" i="3" s="1"/>
  <c r="L139" i="3"/>
  <c r="M139" i="3" s="1"/>
  <c r="R99" i="3"/>
  <c r="S99" i="3" s="1"/>
  <c r="X23" i="3"/>
  <c r="U378" i="3"/>
  <c r="V378" i="3" s="1"/>
  <c r="L121" i="3"/>
  <c r="M121" i="3" s="1"/>
  <c r="O136" i="3"/>
  <c r="P136" i="3" s="1"/>
  <c r="L249" i="3"/>
  <c r="M249" i="3" s="1"/>
  <c r="L297" i="3"/>
  <c r="R410" i="3"/>
  <c r="S410" i="3" s="1"/>
  <c r="X211" i="3"/>
  <c r="X107" i="3"/>
  <c r="R248" i="3"/>
  <c r="S248" i="3" s="1"/>
  <c r="L358" i="3"/>
  <c r="M358" i="3" s="1"/>
  <c r="R162" i="3"/>
  <c r="S162" i="3" s="1"/>
  <c r="L393" i="3"/>
  <c r="M393" i="3" s="1"/>
  <c r="I402" i="3"/>
  <c r="J402" i="3" s="1"/>
  <c r="O281" i="3"/>
  <c r="P281" i="3" s="1"/>
  <c r="I252" i="3"/>
  <c r="J252" i="3" s="1"/>
  <c r="R206" i="3"/>
  <c r="S206" i="3" s="1"/>
  <c r="U156" i="3"/>
  <c r="V156" i="3" s="1"/>
  <c r="O137" i="3"/>
  <c r="P137" i="3" s="1"/>
  <c r="I127" i="3"/>
  <c r="J127" i="3" s="1"/>
  <c r="L9" i="3"/>
  <c r="O419" i="3"/>
  <c r="P419" i="3" s="1"/>
  <c r="X273" i="3"/>
  <c r="O146" i="3"/>
  <c r="P146" i="3" s="1"/>
  <c r="R301" i="3"/>
  <c r="S301" i="3" s="1"/>
  <c r="U266" i="3"/>
  <c r="V266" i="3" s="1"/>
  <c r="R92" i="3"/>
  <c r="S92" i="3" s="1"/>
  <c r="U331" i="3"/>
  <c r="V331" i="3" s="1"/>
  <c r="L187" i="3"/>
  <c r="U376" i="3"/>
  <c r="V376" i="3" s="1"/>
  <c r="I351" i="3"/>
  <c r="J351" i="3" s="1"/>
  <c r="U61" i="3"/>
  <c r="U161" i="3"/>
  <c r="V161" i="3" s="1"/>
  <c r="U199" i="3"/>
  <c r="V199" i="3" s="1"/>
  <c r="U384" i="3"/>
  <c r="V384" i="3" s="1"/>
  <c r="U279" i="3"/>
  <c r="V279" i="3" s="1"/>
  <c r="I396" i="3"/>
  <c r="J396" i="3" s="1"/>
  <c r="U204" i="3"/>
  <c r="V204" i="3" s="1"/>
  <c r="L154" i="3"/>
  <c r="O169" i="3"/>
  <c r="P169" i="3" s="1"/>
  <c r="R111" i="3"/>
  <c r="S111" i="3" s="1"/>
  <c r="O77" i="3"/>
  <c r="P77" i="3" s="1"/>
  <c r="U268" i="3"/>
  <c r="V268" i="3" s="1"/>
  <c r="L66" i="3"/>
  <c r="M66" i="3" s="1"/>
  <c r="R176" i="3"/>
  <c r="S176" i="3" s="1"/>
  <c r="U328" i="3"/>
  <c r="V328" i="3" s="1"/>
  <c r="R321" i="3"/>
  <c r="S321" i="3" s="1"/>
  <c r="U123" i="3"/>
  <c r="V123" i="3" s="1"/>
  <c r="I293" i="3"/>
  <c r="J293" i="3" s="1"/>
  <c r="O317" i="3"/>
  <c r="P317" i="3" s="1"/>
  <c r="L183" i="3"/>
  <c r="M183" i="3" s="1"/>
  <c r="R399" i="3"/>
  <c r="S399" i="3" s="1"/>
  <c r="R389" i="3"/>
  <c r="S389" i="3" s="1"/>
  <c r="U335" i="3"/>
  <c r="V335" i="3" s="1"/>
  <c r="I284" i="3"/>
  <c r="J284" i="3" s="1"/>
  <c r="L253" i="3"/>
  <c r="M253" i="3" s="1"/>
  <c r="U300" i="3"/>
  <c r="I142" i="3"/>
  <c r="J142" i="3" s="1"/>
  <c r="I133" i="3"/>
  <c r="J133" i="3" s="1"/>
  <c r="U118" i="3"/>
  <c r="V118" i="3" s="1"/>
  <c r="R387" i="3"/>
  <c r="S387" i="3" s="1"/>
  <c r="L404" i="3"/>
  <c r="M404" i="3" s="1"/>
  <c r="L182" i="3"/>
  <c r="M182" i="3" s="1"/>
  <c r="R98" i="3"/>
  <c r="S98" i="3" s="1"/>
  <c r="X228" i="3"/>
  <c r="U49" i="3"/>
  <c r="V49" i="3" s="1"/>
  <c r="U388" i="3"/>
  <c r="V388" i="3" s="1"/>
  <c r="R278" i="3"/>
  <c r="S278" i="3" s="1"/>
  <c r="R227" i="3"/>
  <c r="S227" i="3" s="1"/>
  <c r="R112" i="3"/>
  <c r="S112" i="3" s="1"/>
  <c r="I326" i="3"/>
  <c r="J326" i="3" s="1"/>
  <c r="I191" i="3"/>
  <c r="J191" i="3" s="1"/>
  <c r="L274" i="3"/>
  <c r="M274" i="3" s="1"/>
  <c r="L403" i="3"/>
  <c r="M403" i="3" s="1"/>
  <c r="I267" i="3"/>
  <c r="J267" i="3" s="1"/>
  <c r="U166" i="3"/>
  <c r="V166" i="3" s="1"/>
  <c r="I126" i="3"/>
  <c r="J126" i="3" s="1"/>
  <c r="U353" i="3"/>
  <c r="V353" i="3" s="1"/>
  <c r="L262" i="3"/>
  <c r="M262" i="3" s="1"/>
  <c r="R179" i="3"/>
  <c r="S179" i="3" s="1"/>
  <c r="U10" i="3"/>
  <c r="R363" i="3"/>
  <c r="S363" i="3" s="1"/>
  <c r="I305" i="3"/>
  <c r="J305" i="3" s="1"/>
  <c r="O277" i="3"/>
  <c r="P277" i="3" s="1"/>
  <c r="U230" i="3"/>
  <c r="V230" i="3" s="1"/>
  <c r="R180" i="3"/>
  <c r="S180" i="3" s="1"/>
  <c r="R82" i="3"/>
  <c r="S82" i="3" s="1"/>
  <c r="I102" i="3"/>
  <c r="J102" i="3" s="1"/>
  <c r="R415" i="3"/>
  <c r="S415" i="3" s="1"/>
  <c r="U265" i="3"/>
  <c r="V265" i="3" s="1"/>
  <c r="O189" i="3"/>
  <c r="P189" i="3" s="1"/>
  <c r="I341" i="3"/>
  <c r="J341" i="3" s="1"/>
  <c r="U113" i="3"/>
  <c r="L108" i="3"/>
  <c r="M108" i="3" s="1"/>
  <c r="L407" i="3"/>
  <c r="M407" i="3" s="1"/>
  <c r="I295" i="3"/>
  <c r="J295" i="3" s="1"/>
  <c r="U221" i="3"/>
  <c r="V221" i="3" s="1"/>
  <c r="I30" i="3"/>
  <c r="J30" i="3" s="1"/>
  <c r="L282" i="3"/>
  <c r="M282" i="3" s="1"/>
  <c r="U371" i="3"/>
  <c r="V371" i="3" s="1"/>
  <c r="O203" i="3"/>
  <c r="P203" i="3" s="1"/>
  <c r="L337" i="3"/>
  <c r="M337" i="3" s="1"/>
  <c r="I130" i="3"/>
  <c r="J130" i="3" s="1"/>
  <c r="L72" i="3"/>
  <c r="M72" i="3" s="1"/>
  <c r="R34" i="3"/>
  <c r="I370" i="3"/>
  <c r="J370" i="3" s="1"/>
  <c r="U299" i="3"/>
  <c r="V299" i="3" s="1"/>
  <c r="U290" i="3"/>
  <c r="V290" i="3" s="1"/>
  <c r="I174" i="3"/>
  <c r="J174" i="3" s="1"/>
  <c r="I109" i="3"/>
  <c r="J109" i="3" s="1"/>
  <c r="R62" i="3"/>
  <c r="S62" i="3" s="1"/>
  <c r="V15" i="3" l="1"/>
  <c r="V4" i="3"/>
  <c r="V20" i="3"/>
  <c r="V110" i="3"/>
  <c r="S34" i="3"/>
  <c r="V41" i="3"/>
  <c r="V2" i="3"/>
  <c r="AH1" i="3"/>
  <c r="M178" i="3"/>
  <c r="J52" i="3"/>
  <c r="AF1" i="3"/>
  <c r="S2" i="3"/>
  <c r="V30" i="3"/>
  <c r="V9" i="3"/>
  <c r="V63" i="3"/>
  <c r="Z4" i="3"/>
  <c r="Z7" i="3"/>
  <c r="V308" i="3"/>
  <c r="V31" i="3"/>
  <c r="J324" i="3"/>
  <c r="V300" i="3"/>
  <c r="M141" i="3"/>
  <c r="M76" i="3"/>
  <c r="M13" i="3"/>
  <c r="M278" i="3"/>
  <c r="M284" i="3"/>
  <c r="J296" i="3"/>
  <c r="M220" i="3"/>
  <c r="V295" i="3"/>
  <c r="V39" i="3"/>
  <c r="M177" i="3"/>
  <c r="V75" i="3"/>
  <c r="M241" i="3"/>
  <c r="V316" i="3"/>
  <c r="M21" i="3"/>
  <c r="M257" i="3"/>
  <c r="M229" i="3"/>
  <c r="M60" i="3"/>
  <c r="M210" i="3"/>
  <c r="M301" i="3"/>
  <c r="M380" i="3"/>
  <c r="M149" i="3"/>
  <c r="J307" i="3"/>
  <c r="M212" i="3"/>
  <c r="M150" i="3"/>
  <c r="V117" i="3"/>
  <c r="V220" i="3"/>
  <c r="M159" i="3"/>
  <c r="V125" i="3"/>
  <c r="M27" i="3"/>
  <c r="P335" i="3"/>
  <c r="M20" i="3"/>
  <c r="V112" i="3"/>
  <c r="V3" i="3"/>
  <c r="J41" i="3"/>
  <c r="Z56" i="3" s="1"/>
  <c r="V62" i="3"/>
  <c r="V44" i="3"/>
  <c r="M297" i="3"/>
  <c r="M9" i="3"/>
  <c r="V111" i="3"/>
  <c r="M18" i="3"/>
  <c r="M250" i="3"/>
  <c r="M251" i="3"/>
  <c r="M157" i="3"/>
  <c r="V114" i="3"/>
  <c r="M147" i="3"/>
  <c r="M41" i="3"/>
  <c r="M374" i="3"/>
  <c r="M401" i="3"/>
  <c r="M148" i="3"/>
  <c r="V33" i="3"/>
  <c r="M335" i="3"/>
  <c r="M134" i="3"/>
  <c r="M305" i="3"/>
  <c r="J335" i="3"/>
  <c r="M311" i="3"/>
  <c r="M355" i="3"/>
  <c r="Z1" i="3"/>
  <c r="M190" i="3"/>
  <c r="M70" i="3"/>
  <c r="M80" i="3"/>
  <c r="M8" i="3"/>
  <c r="M117" i="3"/>
  <c r="M269" i="3"/>
  <c r="M211" i="3"/>
  <c r="M24" i="3"/>
  <c r="M230" i="3"/>
  <c r="V347" i="3"/>
  <c r="V131" i="3"/>
  <c r="M213" i="3"/>
  <c r="M192" i="3"/>
  <c r="M179" i="3"/>
  <c r="M298" i="3"/>
  <c r="V251" i="3"/>
  <c r="M151" i="3"/>
  <c r="M79" i="3"/>
  <c r="M161" i="3"/>
  <c r="M231" i="3"/>
  <c r="V307" i="3"/>
  <c r="V10" i="3"/>
  <c r="M272" i="3"/>
  <c r="V61" i="3"/>
  <c r="M195" i="3"/>
  <c r="M189" i="3"/>
  <c r="M156" i="3"/>
  <c r="M217" i="3"/>
  <c r="V60" i="3"/>
  <c r="M153" i="3"/>
  <c r="S308" i="3"/>
  <c r="M102" i="3"/>
  <c r="M296" i="3"/>
  <c r="M218" i="3"/>
  <c r="V309" i="3"/>
  <c r="M15" i="3"/>
  <c r="AB1" i="3"/>
  <c r="M2" i="3"/>
  <c r="J79" i="3"/>
  <c r="V34" i="3"/>
  <c r="V59" i="3"/>
  <c r="V36" i="3"/>
  <c r="M263" i="3"/>
  <c r="V80" i="3"/>
  <c r="M170" i="3"/>
  <c r="M154" i="3"/>
  <c r="M236" i="3"/>
  <c r="M237" i="3"/>
  <c r="V57" i="3"/>
  <c r="M175" i="3"/>
  <c r="M310" i="3"/>
  <c r="AD1" i="3"/>
  <c r="K7" i="1" s="1"/>
  <c r="P2" i="3"/>
  <c r="P348" i="3"/>
  <c r="M12" i="3"/>
  <c r="M324" i="3"/>
  <c r="V340" i="3"/>
  <c r="M300" i="3"/>
  <c r="M172" i="3"/>
  <c r="B116" i="1"/>
  <c r="A116" i="1" s="1"/>
  <c r="D114" i="1"/>
  <c r="F112" i="1"/>
  <c r="H110" i="1"/>
  <c r="C107" i="1"/>
  <c r="E105" i="1"/>
  <c r="G103" i="1"/>
  <c r="I101" i="1"/>
  <c r="B100" i="1"/>
  <c r="A100" i="1" s="1"/>
  <c r="D98" i="1"/>
  <c r="F96" i="1"/>
  <c r="H94" i="1"/>
  <c r="C91" i="1"/>
  <c r="E89" i="1"/>
  <c r="G87" i="1"/>
  <c r="I85" i="1"/>
  <c r="B84" i="1"/>
  <c r="A84" i="1" s="1"/>
  <c r="H115" i="1"/>
  <c r="C112" i="1"/>
  <c r="E110" i="1"/>
  <c r="G108" i="1"/>
  <c r="I106" i="1"/>
  <c r="B105" i="1"/>
  <c r="A105" i="1" s="1"/>
  <c r="D103" i="1"/>
  <c r="F101" i="1"/>
  <c r="H99" i="1"/>
  <c r="C96" i="1"/>
  <c r="E94" i="1"/>
  <c r="G116" i="1"/>
  <c r="G114" i="1"/>
  <c r="G112" i="1"/>
  <c r="F110" i="1"/>
  <c r="E108" i="1"/>
  <c r="E106" i="1"/>
  <c r="E104" i="1"/>
  <c r="E102" i="1"/>
  <c r="E100" i="1"/>
  <c r="E98" i="1"/>
  <c r="D96" i="1"/>
  <c r="C94" i="1"/>
  <c r="D92" i="1"/>
  <c r="E90" i="1"/>
  <c r="F88" i="1"/>
  <c r="G86" i="1"/>
  <c r="H84" i="1"/>
  <c r="I82" i="1"/>
  <c r="B81" i="1"/>
  <c r="A81" i="1" s="1"/>
  <c r="D79" i="1"/>
  <c r="F77" i="1"/>
  <c r="H75" i="1"/>
  <c r="C72" i="1"/>
  <c r="E70" i="1"/>
  <c r="G68" i="1"/>
  <c r="I66" i="1"/>
  <c r="B65" i="1"/>
  <c r="A65" i="1" s="1"/>
  <c r="D63" i="1"/>
  <c r="F61" i="1"/>
  <c r="H59" i="1"/>
  <c r="C56" i="1"/>
  <c r="E54" i="1"/>
  <c r="G52" i="1"/>
  <c r="I50" i="1"/>
  <c r="B49" i="1"/>
  <c r="A49" i="1" s="1"/>
  <c r="D47" i="1"/>
  <c r="F45" i="1"/>
  <c r="H43" i="1"/>
  <c r="C40" i="1"/>
  <c r="E38" i="1"/>
  <c r="G36" i="1"/>
  <c r="I34" i="1"/>
  <c r="B33" i="1"/>
  <c r="A33" i="1" s="1"/>
  <c r="D31" i="1"/>
  <c r="F29" i="1"/>
  <c r="H27" i="1"/>
  <c r="C24" i="1"/>
  <c r="E22" i="1"/>
  <c r="G20" i="1"/>
  <c r="I18" i="1"/>
  <c r="B17" i="1"/>
  <c r="A17" i="1" s="1"/>
  <c r="H50" i="1"/>
  <c r="I95" i="1"/>
  <c r="E59" i="1"/>
  <c r="C45" i="1"/>
  <c r="D36" i="1"/>
  <c r="C29" i="1"/>
  <c r="B22" i="1"/>
  <c r="A22" i="1" s="1"/>
  <c r="F116" i="1"/>
  <c r="F114" i="1"/>
  <c r="E112" i="1"/>
  <c r="D110" i="1"/>
  <c r="D108" i="1"/>
  <c r="D106" i="1"/>
  <c r="D104" i="1"/>
  <c r="D102" i="1"/>
  <c r="D100" i="1"/>
  <c r="C98" i="1"/>
  <c r="B96" i="1"/>
  <c r="A96" i="1" s="1"/>
  <c r="B94" i="1"/>
  <c r="A94" i="1" s="1"/>
  <c r="C92" i="1"/>
  <c r="D90" i="1"/>
  <c r="E88" i="1"/>
  <c r="F86" i="1"/>
  <c r="G84" i="1"/>
  <c r="H82" i="1"/>
  <c r="C79" i="1"/>
  <c r="E77" i="1"/>
  <c r="G75" i="1"/>
  <c r="I73" i="1"/>
  <c r="B72" i="1"/>
  <c r="A72" i="1" s="1"/>
  <c r="D70" i="1"/>
  <c r="F68" i="1"/>
  <c r="H66" i="1"/>
  <c r="C63" i="1"/>
  <c r="E61" i="1"/>
  <c r="G59" i="1"/>
  <c r="I57" i="1"/>
  <c r="B56" i="1"/>
  <c r="A56" i="1" s="1"/>
  <c r="D54" i="1"/>
  <c r="F52" i="1"/>
  <c r="C47" i="1"/>
  <c r="E45" i="1"/>
  <c r="G43" i="1"/>
  <c r="I41" i="1"/>
  <c r="B40" i="1"/>
  <c r="A40" i="1" s="1"/>
  <c r="D38" i="1"/>
  <c r="F36" i="1"/>
  <c r="H34" i="1"/>
  <c r="C31" i="1"/>
  <c r="E29" i="1"/>
  <c r="G27" i="1"/>
  <c r="I25" i="1"/>
  <c r="B24" i="1"/>
  <c r="A24" i="1" s="1"/>
  <c r="D22" i="1"/>
  <c r="F20" i="1"/>
  <c r="H18" i="1"/>
  <c r="B110" i="1"/>
  <c r="A110" i="1" s="1"/>
  <c r="F82" i="1"/>
  <c r="E75" i="1"/>
  <c r="B70" i="1"/>
  <c r="A70" i="1" s="1"/>
  <c r="D68" i="1"/>
  <c r="H64" i="1"/>
  <c r="C61" i="1"/>
  <c r="G57" i="1"/>
  <c r="D52" i="1"/>
  <c r="G41" i="1"/>
  <c r="F34" i="1"/>
  <c r="H32" i="1"/>
  <c r="G25" i="1"/>
  <c r="D20" i="1"/>
  <c r="E116" i="1"/>
  <c r="E114" i="1"/>
  <c r="D112" i="1"/>
  <c r="C110" i="1"/>
  <c r="C108" i="1"/>
  <c r="C106" i="1"/>
  <c r="C104" i="1"/>
  <c r="C102" i="1"/>
  <c r="C100" i="1"/>
  <c r="B98" i="1"/>
  <c r="A98" i="1" s="1"/>
  <c r="B92" i="1"/>
  <c r="A92" i="1" s="1"/>
  <c r="C90" i="1"/>
  <c r="D88" i="1"/>
  <c r="E86" i="1"/>
  <c r="F84" i="1"/>
  <c r="G82" i="1"/>
  <c r="I80" i="1"/>
  <c r="B79" i="1"/>
  <c r="A79" i="1" s="1"/>
  <c r="D77" i="1"/>
  <c r="F75" i="1"/>
  <c r="H73" i="1"/>
  <c r="C70" i="1"/>
  <c r="E68" i="1"/>
  <c r="G66" i="1"/>
  <c r="I64" i="1"/>
  <c r="B63" i="1"/>
  <c r="A63" i="1" s="1"/>
  <c r="D61" i="1"/>
  <c r="F59" i="1"/>
  <c r="H57" i="1"/>
  <c r="C54" i="1"/>
  <c r="E52" i="1"/>
  <c r="G50" i="1"/>
  <c r="I48" i="1"/>
  <c r="B47" i="1"/>
  <c r="A47" i="1" s="1"/>
  <c r="D45" i="1"/>
  <c r="F43" i="1"/>
  <c r="H41" i="1"/>
  <c r="C38" i="1"/>
  <c r="E36" i="1"/>
  <c r="G34" i="1"/>
  <c r="I32" i="1"/>
  <c r="B31" i="1"/>
  <c r="A31" i="1" s="1"/>
  <c r="D29" i="1"/>
  <c r="F27" i="1"/>
  <c r="H25" i="1"/>
  <c r="C22" i="1"/>
  <c r="E20" i="1"/>
  <c r="G18" i="1"/>
  <c r="C114" i="1"/>
  <c r="I71" i="1"/>
  <c r="B54" i="1"/>
  <c r="A54" i="1" s="1"/>
  <c r="F50" i="1"/>
  <c r="E43" i="1"/>
  <c r="B38" i="1"/>
  <c r="A38" i="1" s="1"/>
  <c r="I23" i="1"/>
  <c r="D116" i="1"/>
  <c r="B112" i="1"/>
  <c r="A112" i="1" s="1"/>
  <c r="B108" i="1"/>
  <c r="A108" i="1" s="1"/>
  <c r="B106" i="1"/>
  <c r="A106" i="1" s="1"/>
  <c r="B104" i="1"/>
  <c r="A104" i="1" s="1"/>
  <c r="B102" i="1"/>
  <c r="A102" i="1" s="1"/>
  <c r="I97" i="1"/>
  <c r="I93" i="1"/>
  <c r="B90" i="1"/>
  <c r="A90" i="1" s="1"/>
  <c r="C88" i="1"/>
  <c r="D86" i="1"/>
  <c r="E84" i="1"/>
  <c r="H80" i="1"/>
  <c r="C77" i="1"/>
  <c r="G73" i="1"/>
  <c r="F66" i="1"/>
  <c r="I55" i="1"/>
  <c r="H48" i="1"/>
  <c r="I39" i="1"/>
  <c r="E27" i="1"/>
  <c r="F18" i="1"/>
  <c r="C116" i="1"/>
  <c r="B114" i="1"/>
  <c r="A114" i="1" s="1"/>
  <c r="I99" i="1"/>
  <c r="H97" i="1"/>
  <c r="H95" i="1"/>
  <c r="H93" i="1"/>
  <c r="I91" i="1"/>
  <c r="B88" i="1"/>
  <c r="A88" i="1" s="1"/>
  <c r="C86" i="1"/>
  <c r="D84" i="1"/>
  <c r="E82" i="1"/>
  <c r="G80" i="1"/>
  <c r="I78" i="1"/>
  <c r="B77" i="1"/>
  <c r="A77" i="1" s="1"/>
  <c r="D75" i="1"/>
  <c r="F73" i="1"/>
  <c r="H71" i="1"/>
  <c r="C68" i="1"/>
  <c r="E66" i="1"/>
  <c r="G64" i="1"/>
  <c r="I62" i="1"/>
  <c r="B61" i="1"/>
  <c r="A61" i="1" s="1"/>
  <c r="D59" i="1"/>
  <c r="F57" i="1"/>
  <c r="H55" i="1"/>
  <c r="C52" i="1"/>
  <c r="E50" i="1"/>
  <c r="G48" i="1"/>
  <c r="I46" i="1"/>
  <c r="B45" i="1"/>
  <c r="A45" i="1" s="1"/>
  <c r="D43" i="1"/>
  <c r="F41" i="1"/>
  <c r="H39" i="1"/>
  <c r="C36" i="1"/>
  <c r="E34" i="1"/>
  <c r="G32" i="1"/>
  <c r="I30" i="1"/>
  <c r="B29" i="1"/>
  <c r="A29" i="1" s="1"/>
  <c r="D27" i="1"/>
  <c r="F25" i="1"/>
  <c r="H23" i="1"/>
  <c r="C20" i="1"/>
  <c r="E18" i="1"/>
  <c r="E73" i="1"/>
  <c r="C43" i="1"/>
  <c r="I37" i="1"/>
  <c r="D34" i="1"/>
  <c r="F32" i="1"/>
  <c r="C27" i="1"/>
  <c r="G23" i="1"/>
  <c r="I21" i="1"/>
  <c r="D18" i="1"/>
  <c r="I113" i="1"/>
  <c r="I111" i="1"/>
  <c r="I109" i="1"/>
  <c r="I107" i="1"/>
  <c r="I105" i="1"/>
  <c r="I103" i="1"/>
  <c r="H101" i="1"/>
  <c r="G99" i="1"/>
  <c r="G97" i="1"/>
  <c r="G95" i="1"/>
  <c r="G93" i="1"/>
  <c r="H91" i="1"/>
  <c r="I89" i="1"/>
  <c r="B86" i="1"/>
  <c r="A86" i="1" s="1"/>
  <c r="C84" i="1"/>
  <c r="D82" i="1"/>
  <c r="F80" i="1"/>
  <c r="H78" i="1"/>
  <c r="C75" i="1"/>
  <c r="G71" i="1"/>
  <c r="I69" i="1"/>
  <c r="B68" i="1"/>
  <c r="A68" i="1" s="1"/>
  <c r="D66" i="1"/>
  <c r="F64" i="1"/>
  <c r="H62" i="1"/>
  <c r="C59" i="1"/>
  <c r="E57" i="1"/>
  <c r="G55" i="1"/>
  <c r="I53" i="1"/>
  <c r="B52" i="1"/>
  <c r="A52" i="1" s="1"/>
  <c r="D50" i="1"/>
  <c r="F48" i="1"/>
  <c r="H46" i="1"/>
  <c r="E41" i="1"/>
  <c r="G39" i="1"/>
  <c r="B36" i="1"/>
  <c r="A36" i="1" s="1"/>
  <c r="H30" i="1"/>
  <c r="E25" i="1"/>
  <c r="B20" i="1"/>
  <c r="A20" i="1" s="1"/>
  <c r="F113" i="1"/>
  <c r="I110" i="1"/>
  <c r="D107" i="1"/>
  <c r="H103" i="1"/>
  <c r="I100" i="1"/>
  <c r="D97" i="1"/>
  <c r="F94" i="1"/>
  <c r="B91" i="1"/>
  <c r="A91" i="1" s="1"/>
  <c r="I87" i="1"/>
  <c r="C85" i="1"/>
  <c r="F79" i="1"/>
  <c r="E76" i="1"/>
  <c r="D73" i="1"/>
  <c r="I70" i="1"/>
  <c r="H67" i="1"/>
  <c r="D65" i="1"/>
  <c r="C62" i="1"/>
  <c r="B59" i="1"/>
  <c r="A59" i="1" s="1"/>
  <c r="G56" i="1"/>
  <c r="F53" i="1"/>
  <c r="B51" i="1"/>
  <c r="A51" i="1" s="1"/>
  <c r="I44" i="1"/>
  <c r="E42" i="1"/>
  <c r="D39" i="1"/>
  <c r="I36" i="1"/>
  <c r="H33" i="1"/>
  <c r="G30" i="1"/>
  <c r="C28" i="1"/>
  <c r="B25" i="1"/>
  <c r="A25" i="1" s="1"/>
  <c r="G22" i="1"/>
  <c r="F19" i="1"/>
  <c r="I116" i="1"/>
  <c r="D113" i="1"/>
  <c r="H109" i="1"/>
  <c r="E103" i="1"/>
  <c r="G100" i="1"/>
  <c r="B97" i="1"/>
  <c r="A97" i="1" s="1"/>
  <c r="F93" i="1"/>
  <c r="I90" i="1"/>
  <c r="F87" i="1"/>
  <c r="H81" i="1"/>
  <c r="G78" i="1"/>
  <c r="C76" i="1"/>
  <c r="B73" i="1"/>
  <c r="A73" i="1" s="1"/>
  <c r="G70" i="1"/>
  <c r="F67" i="1"/>
  <c r="E64" i="1"/>
  <c r="I58" i="1"/>
  <c r="E56" i="1"/>
  <c r="D53" i="1"/>
  <c r="C50" i="1"/>
  <c r="H47" i="1"/>
  <c r="G44" i="1"/>
  <c r="C42" i="1"/>
  <c r="B39" i="1"/>
  <c r="A39" i="1" s="1"/>
  <c r="F33" i="1"/>
  <c r="E30" i="1"/>
  <c r="I24" i="1"/>
  <c r="H21" i="1"/>
  <c r="D19" i="1"/>
  <c r="H92" i="1"/>
  <c r="G60" i="1"/>
  <c r="C32" i="1"/>
  <c r="C80" i="1"/>
  <c r="I28" i="1"/>
  <c r="H116" i="1"/>
  <c r="C113" i="1"/>
  <c r="G109" i="1"/>
  <c r="H106" i="1"/>
  <c r="C103" i="1"/>
  <c r="F100" i="1"/>
  <c r="E93" i="1"/>
  <c r="H90" i="1"/>
  <c r="E87" i="1"/>
  <c r="I84" i="1"/>
  <c r="G81" i="1"/>
  <c r="F78" i="1"/>
  <c r="B76" i="1"/>
  <c r="A76" i="1" s="1"/>
  <c r="F70" i="1"/>
  <c r="E67" i="1"/>
  <c r="D64" i="1"/>
  <c r="I61" i="1"/>
  <c r="H58" i="1"/>
  <c r="D56" i="1"/>
  <c r="C53" i="1"/>
  <c r="B50" i="1"/>
  <c r="A50" i="1" s="1"/>
  <c r="G47" i="1"/>
  <c r="F44" i="1"/>
  <c r="B42" i="1"/>
  <c r="A42" i="1" s="1"/>
  <c r="I35" i="1"/>
  <c r="E33" i="1"/>
  <c r="D30" i="1"/>
  <c r="I27" i="1"/>
  <c r="H24" i="1"/>
  <c r="G21" i="1"/>
  <c r="C19" i="1"/>
  <c r="B53" i="1"/>
  <c r="A53" i="1" s="1"/>
  <c r="E44" i="1"/>
  <c r="I38" i="1"/>
  <c r="D33" i="1"/>
  <c r="B27" i="1"/>
  <c r="A27" i="1" s="1"/>
  <c r="B19" i="1"/>
  <c r="A19" i="1" s="1"/>
  <c r="D109" i="1"/>
  <c r="G96" i="1"/>
  <c r="B87" i="1"/>
  <c r="A87" i="1" s="1"/>
  <c r="D81" i="1"/>
  <c r="G72" i="1"/>
  <c r="D55" i="1"/>
  <c r="G46" i="1"/>
  <c r="F35" i="1"/>
  <c r="I26" i="1"/>
  <c r="H111" i="1"/>
  <c r="G102" i="1"/>
  <c r="E80" i="1"/>
  <c r="F23" i="1"/>
  <c r="B115" i="1"/>
  <c r="A115" i="1" s="1"/>
  <c r="C105" i="1"/>
  <c r="D95" i="1"/>
  <c r="D83" i="1"/>
  <c r="B69" i="1"/>
  <c r="A69" i="1" s="1"/>
  <c r="F63" i="1"/>
  <c r="D49" i="1"/>
  <c r="F37" i="1"/>
  <c r="D23" i="1"/>
  <c r="I115" i="1"/>
  <c r="B113" i="1"/>
  <c r="A113" i="1" s="1"/>
  <c r="F109" i="1"/>
  <c r="G106" i="1"/>
  <c r="B103" i="1"/>
  <c r="A103" i="1" s="1"/>
  <c r="F99" i="1"/>
  <c r="I96" i="1"/>
  <c r="D93" i="1"/>
  <c r="G90" i="1"/>
  <c r="D87" i="1"/>
  <c r="F81" i="1"/>
  <c r="E78" i="1"/>
  <c r="I72" i="1"/>
  <c r="H69" i="1"/>
  <c r="D67" i="1"/>
  <c r="C64" i="1"/>
  <c r="H61" i="1"/>
  <c r="G58" i="1"/>
  <c r="F55" i="1"/>
  <c r="F47" i="1"/>
  <c r="D41" i="1"/>
  <c r="H35" i="1"/>
  <c r="C30" i="1"/>
  <c r="G24" i="1"/>
  <c r="F21" i="1"/>
  <c r="I112" i="1"/>
  <c r="H105" i="1"/>
  <c r="D99" i="1"/>
  <c r="H89" i="1"/>
  <c r="C78" i="1"/>
  <c r="F69" i="1"/>
  <c r="I60" i="1"/>
  <c r="I52" i="1"/>
  <c r="B41" i="1"/>
  <c r="A41" i="1" s="1"/>
  <c r="E32" i="1"/>
  <c r="D21" i="1"/>
  <c r="I86" i="1"/>
  <c r="C66" i="1"/>
  <c r="E46" i="1"/>
  <c r="I40" i="1"/>
  <c r="D35" i="1"/>
  <c r="B21" i="1"/>
  <c r="A21" i="1" s="1"/>
  <c r="F111" i="1"/>
  <c r="C89" i="1"/>
  <c r="H77" i="1"/>
  <c r="I54" i="1"/>
  <c r="B43" i="1"/>
  <c r="A43" i="1" s="1"/>
  <c r="B35" i="1"/>
  <c r="A35" i="1" s="1"/>
  <c r="I20" i="1"/>
  <c r="G115" i="1"/>
  <c r="E109" i="1"/>
  <c r="F106" i="1"/>
  <c r="E99" i="1"/>
  <c r="H96" i="1"/>
  <c r="C93" i="1"/>
  <c r="F90" i="1"/>
  <c r="C87" i="1"/>
  <c r="I83" i="1"/>
  <c r="E81" i="1"/>
  <c r="D78" i="1"/>
  <c r="I75" i="1"/>
  <c r="H72" i="1"/>
  <c r="G69" i="1"/>
  <c r="C67" i="1"/>
  <c r="B64" i="1"/>
  <c r="A64" i="1" s="1"/>
  <c r="G61" i="1"/>
  <c r="F58" i="1"/>
  <c r="E55" i="1"/>
  <c r="I49" i="1"/>
  <c r="E47" i="1"/>
  <c r="D44" i="1"/>
  <c r="C41" i="1"/>
  <c r="H38" i="1"/>
  <c r="G35" i="1"/>
  <c r="C33" i="1"/>
  <c r="B30" i="1"/>
  <c r="A30" i="1" s="1"/>
  <c r="F24" i="1"/>
  <c r="E21" i="1"/>
  <c r="F115" i="1"/>
  <c r="I102" i="1"/>
  <c r="B93" i="1"/>
  <c r="A93" i="1" s="1"/>
  <c r="H83" i="1"/>
  <c r="B75" i="1"/>
  <c r="A75" i="1" s="1"/>
  <c r="B67" i="1"/>
  <c r="A67" i="1" s="1"/>
  <c r="E58" i="1"/>
  <c r="H49" i="1"/>
  <c r="C44" i="1"/>
  <c r="G38" i="1"/>
  <c r="E24" i="1"/>
  <c r="C18" i="1"/>
  <c r="D115" i="1"/>
  <c r="B109" i="1"/>
  <c r="A109" i="1" s="1"/>
  <c r="F105" i="1"/>
  <c r="F95" i="1"/>
  <c r="F89" i="1"/>
  <c r="F83" i="1"/>
  <c r="I74" i="1"/>
  <c r="E72" i="1"/>
  <c r="D69" i="1"/>
  <c r="H63" i="1"/>
  <c r="C58" i="1"/>
  <c r="F49" i="1"/>
  <c r="H37" i="1"/>
  <c r="G26" i="1"/>
  <c r="H108" i="1"/>
  <c r="F92" i="1"/>
  <c r="G74" i="1"/>
  <c r="E60" i="1"/>
  <c r="C46" i="1"/>
  <c r="E115" i="1"/>
  <c r="H112" i="1"/>
  <c r="C109" i="1"/>
  <c r="G105" i="1"/>
  <c r="H102" i="1"/>
  <c r="C99" i="1"/>
  <c r="E96" i="1"/>
  <c r="I92" i="1"/>
  <c r="G89" i="1"/>
  <c r="G83" i="1"/>
  <c r="C81" i="1"/>
  <c r="B78" i="1"/>
  <c r="A78" i="1" s="1"/>
  <c r="F72" i="1"/>
  <c r="E69" i="1"/>
  <c r="I63" i="1"/>
  <c r="H60" i="1"/>
  <c r="D58" i="1"/>
  <c r="C55" i="1"/>
  <c r="H52" i="1"/>
  <c r="G49" i="1"/>
  <c r="F46" i="1"/>
  <c r="B44" i="1"/>
  <c r="A44" i="1" s="1"/>
  <c r="F38" i="1"/>
  <c r="E35" i="1"/>
  <c r="D32" i="1"/>
  <c r="I29" i="1"/>
  <c r="H26" i="1"/>
  <c r="D24" i="1"/>
  <c r="C21" i="1"/>
  <c r="B18" i="1"/>
  <c r="A18" i="1" s="1"/>
  <c r="B99" i="1"/>
  <c r="A99" i="1" s="1"/>
  <c r="B55" i="1"/>
  <c r="A55" i="1" s="1"/>
  <c r="H29" i="1"/>
  <c r="G101" i="1"/>
  <c r="F71" i="1"/>
  <c r="D57" i="1"/>
  <c r="G40" i="1"/>
  <c r="E26" i="1"/>
  <c r="C115" i="1"/>
  <c r="G111" i="1"/>
  <c r="I108" i="1"/>
  <c r="D105" i="1"/>
  <c r="F102" i="1"/>
  <c r="E95" i="1"/>
  <c r="G92" i="1"/>
  <c r="D89" i="1"/>
  <c r="H86" i="1"/>
  <c r="E83" i="1"/>
  <c r="D80" i="1"/>
  <c r="I77" i="1"/>
  <c r="H74" i="1"/>
  <c r="D72" i="1"/>
  <c r="C69" i="1"/>
  <c r="B66" i="1"/>
  <c r="A66" i="1" s="1"/>
  <c r="G63" i="1"/>
  <c r="F60" i="1"/>
  <c r="B58" i="1"/>
  <c r="A58" i="1" s="1"/>
  <c r="I51" i="1"/>
  <c r="E49" i="1"/>
  <c r="D46" i="1"/>
  <c r="I43" i="1"/>
  <c r="H40" i="1"/>
  <c r="G37" i="1"/>
  <c r="C35" i="1"/>
  <c r="B32" i="1"/>
  <c r="A32" i="1" s="1"/>
  <c r="G29" i="1"/>
  <c r="F26" i="1"/>
  <c r="E23" i="1"/>
  <c r="I17" i="1"/>
  <c r="I98" i="1"/>
  <c r="H51" i="1"/>
  <c r="H17" i="1"/>
  <c r="H107" i="1"/>
  <c r="H100" i="1"/>
  <c r="E91" i="1"/>
  <c r="B83" i="1"/>
  <c r="A83" i="1" s="1"/>
  <c r="D76" i="1"/>
  <c r="C60" i="1"/>
  <c r="E53" i="1"/>
  <c r="H45" i="1"/>
  <c r="D37" i="1"/>
  <c r="F30" i="1"/>
  <c r="I22" i="1"/>
  <c r="H28" i="1"/>
  <c r="B107" i="1"/>
  <c r="A107" i="1" s="1"/>
  <c r="E28" i="1"/>
  <c r="E97" i="1"/>
  <c r="C57" i="1"/>
  <c r="D28" i="1"/>
  <c r="C97" i="1"/>
  <c r="C73" i="1"/>
  <c r="G42" i="1"/>
  <c r="E113" i="1"/>
  <c r="C65" i="1"/>
  <c r="C26" i="1"/>
  <c r="G79" i="1"/>
  <c r="F40" i="1"/>
  <c r="G85" i="1"/>
  <c r="F56" i="1"/>
  <c r="C48" i="1"/>
  <c r="G33" i="1"/>
  <c r="D25" i="1"/>
  <c r="F17" i="1"/>
  <c r="G94" i="1"/>
  <c r="H70" i="1"/>
  <c r="F54" i="1"/>
  <c r="G76" i="1"/>
  <c r="E37" i="1"/>
  <c r="G107" i="1"/>
  <c r="H98" i="1"/>
  <c r="D91" i="1"/>
  <c r="F74" i="1"/>
  <c r="I67" i="1"/>
  <c r="B60" i="1"/>
  <c r="A60" i="1" s="1"/>
  <c r="G51" i="1"/>
  <c r="G45" i="1"/>
  <c r="C37" i="1"/>
  <c r="H22" i="1"/>
  <c r="H65" i="1"/>
  <c r="D51" i="1"/>
  <c r="G65" i="1"/>
  <c r="H88" i="1"/>
  <c r="H19" i="1"/>
  <c r="H79" i="1"/>
  <c r="E19" i="1"/>
  <c r="E63" i="1"/>
  <c r="I33" i="1"/>
  <c r="B71" i="1"/>
  <c r="A71" i="1" s="1"/>
  <c r="F62" i="1"/>
  <c r="D101" i="1"/>
  <c r="H76" i="1"/>
  <c r="G31" i="1"/>
  <c r="G91" i="1"/>
  <c r="C83" i="1"/>
  <c r="F107" i="1"/>
  <c r="G98" i="1"/>
  <c r="C82" i="1"/>
  <c r="E74" i="1"/>
  <c r="G67" i="1"/>
  <c r="F51" i="1"/>
  <c r="H44" i="1"/>
  <c r="B37" i="1"/>
  <c r="A37" i="1" s="1"/>
  <c r="G28" i="1"/>
  <c r="F22" i="1"/>
  <c r="I114" i="1"/>
  <c r="I81" i="1"/>
  <c r="I42" i="1"/>
  <c r="I88" i="1"/>
  <c r="B74" i="1"/>
  <c r="A74" i="1" s="1"/>
  <c r="H42" i="1"/>
  <c r="I104" i="1"/>
  <c r="B57" i="1"/>
  <c r="A57" i="1" s="1"/>
  <c r="D48" i="1"/>
  <c r="E79" i="1"/>
  <c r="C111" i="1"/>
  <c r="H54" i="1"/>
  <c r="D40" i="1"/>
  <c r="C25" i="1"/>
  <c r="B111" i="1"/>
  <c r="A111" i="1" s="1"/>
  <c r="I47" i="1"/>
  <c r="E92" i="1"/>
  <c r="F31" i="1"/>
  <c r="E107" i="1"/>
  <c r="F98" i="1"/>
  <c r="B89" i="1"/>
  <c r="A89" i="1" s="1"/>
  <c r="B82" i="1"/>
  <c r="A82" i="1" s="1"/>
  <c r="D74" i="1"/>
  <c r="I65" i="1"/>
  <c r="I59" i="1"/>
  <c r="E51" i="1"/>
  <c r="F28" i="1"/>
  <c r="H20" i="1"/>
  <c r="F97" i="1"/>
  <c r="C74" i="1"/>
  <c r="H36" i="1"/>
  <c r="B80" i="1"/>
  <c r="A80" i="1" s="1"/>
  <c r="C51" i="1"/>
  <c r="I19" i="1"/>
  <c r="G104" i="1"/>
  <c r="D71" i="1"/>
  <c r="I56" i="1"/>
  <c r="E48" i="1"/>
  <c r="F104" i="1"/>
  <c r="C71" i="1"/>
  <c r="H56" i="1"/>
  <c r="G17" i="1"/>
  <c r="E101" i="1"/>
  <c r="B48" i="1"/>
  <c r="A48" i="1" s="1"/>
  <c r="I31" i="1"/>
  <c r="E17" i="1"/>
  <c r="E62" i="1"/>
  <c r="D17" i="1"/>
  <c r="D62" i="1"/>
  <c r="C23" i="1"/>
  <c r="F108" i="1"/>
  <c r="C34" i="1"/>
  <c r="H87" i="1"/>
  <c r="H85" i="1"/>
  <c r="F103" i="1"/>
  <c r="G77" i="1"/>
  <c r="B46" i="1"/>
  <c r="A46" i="1" s="1"/>
  <c r="E39" i="1"/>
  <c r="C17" i="1"/>
  <c r="B85" i="1"/>
  <c r="A85" i="1" s="1"/>
  <c r="H53" i="1"/>
  <c r="C39" i="1"/>
  <c r="B23" i="1"/>
  <c r="A23" i="1" s="1"/>
  <c r="H114" i="1"/>
  <c r="H113" i="1"/>
  <c r="F65" i="1"/>
  <c r="B28" i="1"/>
  <c r="A28" i="1" s="1"/>
  <c r="B95" i="1"/>
  <c r="A95" i="1" s="1"/>
  <c r="B26" i="1"/>
  <c r="A26" i="1" s="1"/>
  <c r="D111" i="1"/>
  <c r="G62" i="1"/>
  <c r="E40" i="1"/>
  <c r="E85" i="1"/>
  <c r="G54" i="1"/>
  <c r="F39" i="1"/>
  <c r="H31" i="1"/>
  <c r="C101" i="1"/>
  <c r="I68" i="1"/>
  <c r="F91" i="1"/>
  <c r="H68" i="1"/>
  <c r="D60" i="1"/>
  <c r="G53" i="1"/>
  <c r="I45" i="1"/>
  <c r="E31" i="1"/>
  <c r="B62" i="1"/>
  <c r="A62" i="1" s="1"/>
  <c r="G113" i="1"/>
  <c r="H104" i="1"/>
  <c r="C95" i="1"/>
  <c r="G88" i="1"/>
  <c r="I79" i="1"/>
  <c r="E71" i="1"/>
  <c r="E65" i="1"/>
  <c r="C49" i="1"/>
  <c r="F42" i="1"/>
  <c r="B34" i="1"/>
  <c r="A34" i="1" s="1"/>
  <c r="D26" i="1"/>
  <c r="G19" i="1"/>
  <c r="D42" i="1"/>
  <c r="F85" i="1"/>
  <c r="I76" i="1"/>
  <c r="D85" i="1"/>
  <c r="B101" i="1"/>
  <c r="A101" i="1" s="1"/>
  <c r="F76" i="1"/>
  <c r="E111" i="1"/>
  <c r="I94" i="1"/>
  <c r="D94" i="1"/>
  <c r="G110" i="1"/>
  <c r="J100" i="3"/>
  <c r="M158" i="3"/>
  <c r="V245" i="3"/>
  <c r="M323" i="3"/>
  <c r="V108" i="3"/>
  <c r="M321" i="3"/>
  <c r="M99" i="3"/>
  <c r="P341" i="3"/>
  <c r="M308" i="3"/>
  <c r="V74" i="3"/>
  <c r="J60" i="3"/>
  <c r="Z6" i="3" s="1"/>
  <c r="J218" i="3"/>
  <c r="M140" i="3"/>
  <c r="M233" i="3"/>
  <c r="V115" i="3"/>
  <c r="M216" i="3"/>
  <c r="M152" i="3"/>
  <c r="V28" i="3"/>
  <c r="J251" i="3"/>
  <c r="V35" i="3"/>
  <c r="M164" i="3"/>
  <c r="V43" i="3"/>
  <c r="M57" i="3"/>
  <c r="V126" i="3"/>
  <c r="J163" i="3"/>
  <c r="V7" i="3"/>
  <c r="J147" i="3"/>
  <c r="M193" i="3"/>
  <c r="M194" i="3"/>
  <c r="M85" i="3"/>
  <c r="V11" i="3"/>
  <c r="M116" i="3"/>
  <c r="V37" i="3"/>
  <c r="J237" i="3"/>
  <c r="Z84" i="3" s="1"/>
  <c r="J311" i="3"/>
  <c r="M215" i="3"/>
  <c r="M209" i="3"/>
  <c r="M7" i="3"/>
  <c r="V113" i="3"/>
  <c r="M187" i="3"/>
  <c r="M208" i="3"/>
  <c r="V85" i="3"/>
  <c r="M169" i="3"/>
  <c r="M155" i="3"/>
  <c r="M52" i="3"/>
  <c r="V301" i="3"/>
  <c r="M307" i="3"/>
  <c r="M322" i="3"/>
  <c r="V58" i="3"/>
  <c r="M232" i="3"/>
  <c r="M168" i="3"/>
  <c r="M333" i="3"/>
  <c r="V50" i="3"/>
  <c r="M234" i="3"/>
  <c r="V29" i="3"/>
  <c r="M191" i="3"/>
  <c r="V130" i="3"/>
  <c r="V12" i="3"/>
  <c r="J154" i="3"/>
  <c r="S33" i="3"/>
  <c r="V45" i="3"/>
  <c r="M160" i="3"/>
  <c r="M303" i="3"/>
  <c r="V27" i="3"/>
  <c r="M100" i="3"/>
  <c r="M163" i="3"/>
  <c r="S3" i="3"/>
  <c r="V5" i="3"/>
  <c r="V284" i="3"/>
  <c r="V71" i="3"/>
  <c r="M302" i="3"/>
  <c r="V129" i="3"/>
  <c r="V72" i="3"/>
  <c r="J195" i="3"/>
  <c r="V82" i="3"/>
  <c r="M235" i="3"/>
  <c r="M219" i="3"/>
  <c r="V32" i="3"/>
  <c r="M214" i="3"/>
  <c r="M188" i="3"/>
  <c r="V79" i="3"/>
  <c r="M167" i="3"/>
  <c r="V109" i="3"/>
  <c r="M3" i="3"/>
  <c r="V135" i="3"/>
  <c r="Z113" i="3" l="1"/>
  <c r="Z65" i="3"/>
  <c r="Z109" i="3"/>
  <c r="Z12" i="3"/>
  <c r="Z9" i="3"/>
  <c r="Z62" i="3"/>
  <c r="Z25" i="3"/>
  <c r="Z67" i="3"/>
  <c r="Z48" i="3"/>
  <c r="Z95" i="3"/>
  <c r="Z41" i="3"/>
  <c r="Z104" i="3"/>
  <c r="Z50" i="3"/>
  <c r="Z21" i="3"/>
  <c r="Z17" i="3"/>
  <c r="Z98" i="3"/>
  <c r="Z57" i="3"/>
  <c r="Z132" i="3"/>
  <c r="Z83" i="3"/>
  <c r="Z43" i="3"/>
  <c r="Z39" i="3"/>
  <c r="Z55" i="3"/>
  <c r="Z107" i="3"/>
  <c r="Z71" i="3"/>
  <c r="Z10" i="3"/>
  <c r="Z118" i="3"/>
  <c r="Z24" i="3"/>
  <c r="Z120" i="3"/>
  <c r="Z128" i="3"/>
  <c r="Z91" i="3"/>
  <c r="Z97" i="3"/>
  <c r="Z125" i="3"/>
  <c r="Z47" i="3"/>
  <c r="Z116" i="3"/>
  <c r="Z89" i="3"/>
  <c r="Z60" i="3"/>
  <c r="Z72" i="3"/>
  <c r="Z70" i="3"/>
  <c r="Z63" i="3"/>
  <c r="Z44" i="3"/>
  <c r="Z66" i="3"/>
  <c r="Z78" i="3"/>
  <c r="Z130" i="3"/>
  <c r="Z61" i="3"/>
  <c r="Z38" i="3"/>
  <c r="Z77" i="3"/>
  <c r="Z31" i="3"/>
  <c r="Z18" i="3"/>
  <c r="Z8" i="3"/>
  <c r="Z69" i="3"/>
  <c r="Z22" i="3"/>
  <c r="Z49" i="3"/>
  <c r="Z42" i="3"/>
  <c r="Z33" i="3"/>
  <c r="Z87" i="3"/>
  <c r="Z121" i="3"/>
  <c r="Z29" i="3"/>
  <c r="Z23" i="3"/>
  <c r="Z32" i="3"/>
  <c r="AD128" i="3"/>
  <c r="AD129" i="3"/>
  <c r="AD131" i="3"/>
  <c r="AD132" i="3"/>
  <c r="AD122" i="3"/>
  <c r="AD106" i="3"/>
  <c r="AD90" i="3"/>
  <c r="AD74" i="3"/>
  <c r="AD117" i="3"/>
  <c r="AD101" i="3"/>
  <c r="AD85" i="3"/>
  <c r="AD130" i="3"/>
  <c r="AD112" i="3"/>
  <c r="AD96" i="3"/>
  <c r="AD80" i="3"/>
  <c r="AD123" i="3"/>
  <c r="AD107" i="3"/>
  <c r="AD118" i="3"/>
  <c r="AD102" i="3"/>
  <c r="AD86" i="3"/>
  <c r="AD70" i="3"/>
  <c r="AD113" i="3"/>
  <c r="AD97" i="3"/>
  <c r="AD125" i="3"/>
  <c r="AD109" i="3"/>
  <c r="AD124" i="3"/>
  <c r="AD92" i="3"/>
  <c r="AD78" i="3"/>
  <c r="AD75" i="3"/>
  <c r="AD61" i="3"/>
  <c r="AD46" i="3"/>
  <c r="AD30" i="3"/>
  <c r="AD126" i="3"/>
  <c r="AD89" i="3"/>
  <c r="AD57" i="3"/>
  <c r="AD41" i="3"/>
  <c r="AD127" i="3"/>
  <c r="AD120" i="3"/>
  <c r="AD119" i="3"/>
  <c r="AD72" i="3"/>
  <c r="AD68" i="3"/>
  <c r="AD52" i="3"/>
  <c r="AD121" i="3"/>
  <c r="AD83" i="3"/>
  <c r="AD65" i="3"/>
  <c r="AD47" i="3"/>
  <c r="AD31" i="3"/>
  <c r="AD115" i="3"/>
  <c r="AD114" i="3"/>
  <c r="AD58" i="3"/>
  <c r="AD42" i="3"/>
  <c r="AD111" i="3"/>
  <c r="AD104" i="3"/>
  <c r="AD103" i="3"/>
  <c r="AD95" i="3"/>
  <c r="AD71" i="3"/>
  <c r="AD59" i="3"/>
  <c r="AD43" i="3"/>
  <c r="AD25" i="3"/>
  <c r="AD13" i="3"/>
  <c r="AD64" i="3"/>
  <c r="AD63" i="3"/>
  <c r="AD62" i="3"/>
  <c r="AD53" i="3"/>
  <c r="AD39" i="3"/>
  <c r="AD20" i="3"/>
  <c r="AD3" i="3"/>
  <c r="AD79" i="3"/>
  <c r="AD35" i="3"/>
  <c r="AD14" i="3"/>
  <c r="AD100" i="3"/>
  <c r="AD26" i="3"/>
  <c r="AD87" i="3"/>
  <c r="AD73" i="3"/>
  <c r="AD60" i="3"/>
  <c r="AD38" i="3"/>
  <c r="AD21" i="3"/>
  <c r="AD15" i="3"/>
  <c r="AD6" i="3"/>
  <c r="AD82" i="3"/>
  <c r="AD22" i="3"/>
  <c r="AD77" i="3"/>
  <c r="AD44" i="3"/>
  <c r="AD49" i="3"/>
  <c r="AD116" i="3"/>
  <c r="AD98" i="3"/>
  <c r="AD94" i="3"/>
  <c r="AD88" i="3"/>
  <c r="AD45" i="3"/>
  <c r="AD40" i="3"/>
  <c r="AD16" i="3"/>
  <c r="AD9" i="3"/>
  <c r="AD66" i="3"/>
  <c r="AD108" i="3"/>
  <c r="AD56" i="3"/>
  <c r="AD36" i="3"/>
  <c r="AD27" i="3"/>
  <c r="AD69" i="3"/>
  <c r="AD37" i="3"/>
  <c r="AD32" i="3"/>
  <c r="AD50" i="3"/>
  <c r="AD4" i="3"/>
  <c r="AD11" i="3"/>
  <c r="AD24" i="3"/>
  <c r="AD17" i="3"/>
  <c r="AD54" i="3"/>
  <c r="AD12" i="3"/>
  <c r="AD34" i="3"/>
  <c r="AD28" i="3"/>
  <c r="AD5" i="3"/>
  <c r="AD8" i="3"/>
  <c r="AD19" i="3"/>
  <c r="AD99" i="3"/>
  <c r="AD18" i="3"/>
  <c r="AD7" i="3"/>
  <c r="AD76" i="3"/>
  <c r="AD51" i="3"/>
  <c r="AD91" i="3"/>
  <c r="AD29" i="3"/>
  <c r="AD110" i="3"/>
  <c r="AD33" i="3"/>
  <c r="AD23" i="3"/>
  <c r="AD10" i="3"/>
  <c r="AD48" i="3"/>
  <c r="AD67" i="3"/>
  <c r="AD93" i="3"/>
  <c r="AD55" i="3"/>
  <c r="AD84" i="3"/>
  <c r="AD81" i="3"/>
  <c r="AD105" i="3"/>
  <c r="Z111" i="3"/>
  <c r="Z5" i="3"/>
  <c r="AB131" i="3"/>
  <c r="AB127" i="3"/>
  <c r="AB111" i="3"/>
  <c r="AB95" i="3"/>
  <c r="AB79" i="3"/>
  <c r="AB63" i="3"/>
  <c r="AB132" i="3"/>
  <c r="AB122" i="3"/>
  <c r="AB106" i="3"/>
  <c r="AB90" i="3"/>
  <c r="AB74" i="3"/>
  <c r="AB117" i="3"/>
  <c r="AB101" i="3"/>
  <c r="AB85" i="3"/>
  <c r="AB130" i="3"/>
  <c r="AB128" i="3"/>
  <c r="AB112" i="3"/>
  <c r="AB123" i="3"/>
  <c r="AB107" i="3"/>
  <c r="AB91" i="3"/>
  <c r="AB75" i="3"/>
  <c r="AB118" i="3"/>
  <c r="AB102" i="3"/>
  <c r="AB114" i="3"/>
  <c r="AB51" i="3"/>
  <c r="AB35" i="3"/>
  <c r="AB129" i="3"/>
  <c r="AB125" i="3"/>
  <c r="AB124" i="3"/>
  <c r="AB92" i="3"/>
  <c r="AB86" i="3"/>
  <c r="AB78" i="3"/>
  <c r="AB61" i="3"/>
  <c r="AB46" i="3"/>
  <c r="AB30" i="3"/>
  <c r="AB126" i="3"/>
  <c r="AB96" i="3"/>
  <c r="AB89" i="3"/>
  <c r="AB57" i="3"/>
  <c r="AB120" i="3"/>
  <c r="AB119" i="3"/>
  <c r="AB72" i="3"/>
  <c r="AB68" i="3"/>
  <c r="AB52" i="3"/>
  <c r="AB36" i="3"/>
  <c r="AB121" i="3"/>
  <c r="AB113" i="3"/>
  <c r="AB83" i="3"/>
  <c r="AB80" i="3"/>
  <c r="AB65" i="3"/>
  <c r="AB47" i="3"/>
  <c r="AB31" i="3"/>
  <c r="AB110" i="3"/>
  <c r="AB88" i="3"/>
  <c r="AB69" i="3"/>
  <c r="AB48" i="3"/>
  <c r="AB32" i="3"/>
  <c r="AB116" i="3"/>
  <c r="AB108" i="3"/>
  <c r="AB105" i="3"/>
  <c r="AB84" i="3"/>
  <c r="AB54" i="3"/>
  <c r="AB28" i="3"/>
  <c r="AB43" i="3"/>
  <c r="AB25" i="3"/>
  <c r="AB13" i="3"/>
  <c r="AB64" i="3"/>
  <c r="AB62" i="3"/>
  <c r="AB53" i="3"/>
  <c r="AB39" i="3"/>
  <c r="AB20" i="3"/>
  <c r="AB103" i="3"/>
  <c r="AB100" i="3"/>
  <c r="AB97" i="3"/>
  <c r="AB26" i="3"/>
  <c r="AB5" i="3"/>
  <c r="AB98" i="3"/>
  <c r="AB93" i="3"/>
  <c r="AB81" i="3"/>
  <c r="AB58" i="3"/>
  <c r="AB27" i="3"/>
  <c r="AB16" i="3"/>
  <c r="AB8" i="3"/>
  <c r="AB55" i="3"/>
  <c r="AB23" i="3"/>
  <c r="AB10" i="3"/>
  <c r="AB37" i="3"/>
  <c r="AB77" i="3"/>
  <c r="AB44" i="3"/>
  <c r="AB22" i="3"/>
  <c r="AB49" i="3"/>
  <c r="AB94" i="3"/>
  <c r="AB73" i="3"/>
  <c r="AB21" i="3"/>
  <c r="AB71" i="3"/>
  <c r="AB45" i="3"/>
  <c r="AB40" i="3"/>
  <c r="AB9" i="3"/>
  <c r="AB82" i="3"/>
  <c r="AB60" i="3"/>
  <c r="AB56" i="3"/>
  <c r="AB41" i="3"/>
  <c r="AB115" i="3"/>
  <c r="AB59" i="3"/>
  <c r="AB4" i="3"/>
  <c r="AB104" i="3"/>
  <c r="AB11" i="3"/>
  <c r="AB66" i="3"/>
  <c r="AB24" i="3"/>
  <c r="AB17" i="3"/>
  <c r="AB6" i="3"/>
  <c r="AB38" i="3"/>
  <c r="AB12" i="3"/>
  <c r="AB18" i="3"/>
  <c r="AB7" i="3"/>
  <c r="AB15" i="3"/>
  <c r="AB42" i="3"/>
  <c r="AB34" i="3"/>
  <c r="AB99" i="3"/>
  <c r="AB76" i="3"/>
  <c r="AB33" i="3"/>
  <c r="AB70" i="3"/>
  <c r="AB19" i="3"/>
  <c r="AB14" i="3"/>
  <c r="AB29" i="3"/>
  <c r="AB3" i="3"/>
  <c r="AB109" i="3"/>
  <c r="AB87" i="3"/>
  <c r="AB67" i="3"/>
  <c r="AB50" i="3"/>
  <c r="Z74" i="3"/>
  <c r="Z114" i="3"/>
  <c r="Z88" i="3"/>
  <c r="Z103" i="3"/>
  <c r="Z28" i="3"/>
  <c r="Z93" i="3"/>
  <c r="Z82" i="3"/>
  <c r="AF129" i="3"/>
  <c r="AF117" i="3"/>
  <c r="AF101" i="3"/>
  <c r="AF85" i="3"/>
  <c r="AF69" i="3"/>
  <c r="AF130" i="3"/>
  <c r="AF112" i="3"/>
  <c r="AF96" i="3"/>
  <c r="AF80" i="3"/>
  <c r="AF128" i="3"/>
  <c r="AF123" i="3"/>
  <c r="AF107" i="3"/>
  <c r="AF91" i="3"/>
  <c r="AF75" i="3"/>
  <c r="AF118" i="3"/>
  <c r="AF102" i="3"/>
  <c r="AF113" i="3"/>
  <c r="AF97" i="3"/>
  <c r="AF81" i="3"/>
  <c r="AF124" i="3"/>
  <c r="AF108" i="3"/>
  <c r="AF92" i="3"/>
  <c r="AF120" i="3"/>
  <c r="AF104" i="3"/>
  <c r="AF126" i="3"/>
  <c r="AF125" i="3"/>
  <c r="AF89" i="3"/>
  <c r="AF86" i="3"/>
  <c r="AF57" i="3"/>
  <c r="AF41" i="3"/>
  <c r="AF127" i="3"/>
  <c r="AF119" i="3"/>
  <c r="AF72" i="3"/>
  <c r="AF68" i="3"/>
  <c r="AF52" i="3"/>
  <c r="AF36" i="3"/>
  <c r="AF121" i="3"/>
  <c r="AF83" i="3"/>
  <c r="AF65" i="3"/>
  <c r="AF132" i="3"/>
  <c r="AF122" i="3"/>
  <c r="AF115" i="3"/>
  <c r="AF114" i="3"/>
  <c r="AF58" i="3"/>
  <c r="AF42" i="3"/>
  <c r="AF116" i="3"/>
  <c r="AF77" i="3"/>
  <c r="AF62" i="3"/>
  <c r="AF53" i="3"/>
  <c r="AF37" i="3"/>
  <c r="AF105" i="3"/>
  <c r="AF82" i="3"/>
  <c r="AF74" i="3"/>
  <c r="AF66" i="3"/>
  <c r="AF54" i="3"/>
  <c r="AF38" i="3"/>
  <c r="AF78" i="3"/>
  <c r="AF64" i="3"/>
  <c r="AF63" i="3"/>
  <c r="AF43" i="3"/>
  <c r="AF39" i="3"/>
  <c r="AF31" i="3"/>
  <c r="AF20" i="3"/>
  <c r="AF3" i="3"/>
  <c r="AF79" i="3"/>
  <c r="AF47" i="3"/>
  <c r="AF35" i="3"/>
  <c r="AF14" i="3"/>
  <c r="AF4" i="3"/>
  <c r="AF111" i="3"/>
  <c r="AF103" i="3"/>
  <c r="AF100" i="3"/>
  <c r="AF26" i="3"/>
  <c r="AF87" i="3"/>
  <c r="AF73" i="3"/>
  <c r="AF60" i="3"/>
  <c r="AF21" i="3"/>
  <c r="AF61" i="3"/>
  <c r="AF59" i="3"/>
  <c r="AF34" i="3"/>
  <c r="AF7" i="3"/>
  <c r="AF51" i="3"/>
  <c r="AF33" i="3"/>
  <c r="AF17" i="3"/>
  <c r="AF9" i="3"/>
  <c r="AF49" i="3"/>
  <c r="AF22" i="3"/>
  <c r="AF46" i="3"/>
  <c r="AF98" i="3"/>
  <c r="AF94" i="3"/>
  <c r="AF88" i="3"/>
  <c r="AF6" i="3"/>
  <c r="AF45" i="3"/>
  <c r="AF40" i="3"/>
  <c r="AF16" i="3"/>
  <c r="AF13" i="3"/>
  <c r="AF12" i="3"/>
  <c r="AF90" i="3"/>
  <c r="AF71" i="3"/>
  <c r="AF56" i="3"/>
  <c r="AF32" i="3"/>
  <c r="AF50" i="3"/>
  <c r="AF27" i="3"/>
  <c r="AF110" i="3"/>
  <c r="AF24" i="3"/>
  <c r="AF23" i="3"/>
  <c r="AF30" i="3"/>
  <c r="AF28" i="3"/>
  <c r="AF5" i="3"/>
  <c r="AF25" i="3"/>
  <c r="AF99" i="3"/>
  <c r="AF18" i="3"/>
  <c r="AF106" i="3"/>
  <c r="AF8" i="3"/>
  <c r="AF76" i="3"/>
  <c r="AF44" i="3"/>
  <c r="AF95" i="3"/>
  <c r="AF19" i="3"/>
  <c r="AF70" i="3"/>
  <c r="AF29" i="3"/>
  <c r="AF15" i="3"/>
  <c r="AF48" i="3"/>
  <c r="AF11" i="3"/>
  <c r="AF109" i="3"/>
  <c r="AF131" i="3"/>
  <c r="AF84" i="3"/>
  <c r="AF10" i="3"/>
  <c r="AF93" i="3"/>
  <c r="AF67" i="3"/>
  <c r="AF55" i="3"/>
  <c r="Z13" i="3"/>
  <c r="Z127" i="3"/>
  <c r="Z36" i="3"/>
  <c r="Z20" i="3"/>
  <c r="Z59" i="3"/>
  <c r="Z129" i="3"/>
  <c r="Z68" i="3"/>
  <c r="Z73" i="3"/>
  <c r="Z79" i="3"/>
  <c r="Z110" i="3"/>
  <c r="Z16" i="3"/>
  <c r="Z123" i="3"/>
  <c r="Z102" i="3"/>
  <c r="Z15" i="3"/>
  <c r="Z37" i="3"/>
  <c r="Z85" i="3"/>
  <c r="Z108" i="3"/>
  <c r="Z122" i="3"/>
  <c r="Z53" i="3"/>
  <c r="Z40" i="3"/>
  <c r="Z86" i="3"/>
  <c r="Z106" i="3"/>
  <c r="Z19" i="3"/>
  <c r="Z30" i="3"/>
  <c r="Z124" i="3"/>
  <c r="Z45" i="3"/>
  <c r="Z52" i="3"/>
  <c r="Z81" i="3"/>
  <c r="Z117" i="3"/>
  <c r="Z80" i="3"/>
  <c r="Z100" i="3"/>
  <c r="Z34" i="3"/>
  <c r="Z92" i="3"/>
  <c r="Z14" i="3"/>
  <c r="Z76" i="3"/>
  <c r="Z112" i="3"/>
  <c r="Z26" i="3"/>
  <c r="Z51" i="3"/>
  <c r="Z27" i="3"/>
  <c r="Z115" i="3"/>
  <c r="Z119" i="3"/>
  <c r="Z46" i="3"/>
  <c r="AH129" i="3"/>
  <c r="AH130" i="3"/>
  <c r="AH131" i="3"/>
  <c r="AH112" i="3"/>
  <c r="AH96" i="3"/>
  <c r="AH80" i="3"/>
  <c r="AH64" i="3"/>
  <c r="AH128" i="3"/>
  <c r="AH123" i="3"/>
  <c r="AH107" i="3"/>
  <c r="AH91" i="3"/>
  <c r="AH75" i="3"/>
  <c r="AH118" i="3"/>
  <c r="AH102" i="3"/>
  <c r="AH86" i="3"/>
  <c r="AH70" i="3"/>
  <c r="AH113" i="3"/>
  <c r="AH124" i="3"/>
  <c r="AH108" i="3"/>
  <c r="AH92" i="3"/>
  <c r="AH76" i="3"/>
  <c r="AH119" i="3"/>
  <c r="AH103" i="3"/>
  <c r="AH115" i="3"/>
  <c r="AH99" i="3"/>
  <c r="AH127" i="3"/>
  <c r="AH72" i="3"/>
  <c r="AH68" i="3"/>
  <c r="AH52" i="3"/>
  <c r="AH36" i="3"/>
  <c r="AH121" i="3"/>
  <c r="AH120" i="3"/>
  <c r="AH83" i="3"/>
  <c r="AH65" i="3"/>
  <c r="AH47" i="3"/>
  <c r="AH31" i="3"/>
  <c r="AH132" i="3"/>
  <c r="AH122" i="3"/>
  <c r="AH114" i="3"/>
  <c r="AH58" i="3"/>
  <c r="AH116" i="3"/>
  <c r="AH77" i="3"/>
  <c r="AH62" i="3"/>
  <c r="AH53" i="3"/>
  <c r="AH37" i="3"/>
  <c r="AH117" i="3"/>
  <c r="AH110" i="3"/>
  <c r="AH109" i="3"/>
  <c r="AH88" i="3"/>
  <c r="AH48" i="3"/>
  <c r="AH32" i="3"/>
  <c r="AH106" i="3"/>
  <c r="AH98" i="3"/>
  <c r="AH85" i="3"/>
  <c r="AH49" i="3"/>
  <c r="AH33" i="3"/>
  <c r="AH79" i="3"/>
  <c r="AH35" i="3"/>
  <c r="AH14" i="3"/>
  <c r="AH4" i="3"/>
  <c r="AH111" i="3"/>
  <c r="AH100" i="3"/>
  <c r="AH26" i="3"/>
  <c r="AH5" i="3"/>
  <c r="AH87" i="3"/>
  <c r="AH73" i="3"/>
  <c r="AH60" i="3"/>
  <c r="AH21" i="3"/>
  <c r="AH15" i="3"/>
  <c r="AH97" i="3"/>
  <c r="AH61" i="3"/>
  <c r="AH59" i="3"/>
  <c r="AH38" i="3"/>
  <c r="AH34" i="3"/>
  <c r="AH125" i="3"/>
  <c r="AH93" i="3"/>
  <c r="AH74" i="3"/>
  <c r="AH42" i="3"/>
  <c r="AH30" i="3"/>
  <c r="AH27" i="3"/>
  <c r="AH16" i="3"/>
  <c r="AH8" i="3"/>
  <c r="AH94" i="3"/>
  <c r="AH50" i="3"/>
  <c r="AH126" i="3"/>
  <c r="AH45" i="3"/>
  <c r="AH40" i="3"/>
  <c r="AH13" i="3"/>
  <c r="AH90" i="3"/>
  <c r="AH71" i="3"/>
  <c r="AH56" i="3"/>
  <c r="AH9" i="3"/>
  <c r="AH84" i="3"/>
  <c r="AH63" i="3"/>
  <c r="AH82" i="3"/>
  <c r="AH69" i="3"/>
  <c r="AH41" i="3"/>
  <c r="AH20" i="3"/>
  <c r="AH66" i="3"/>
  <c r="AH46" i="3"/>
  <c r="AH12" i="3"/>
  <c r="AH6" i="3"/>
  <c r="AH104" i="3"/>
  <c r="AH43" i="3"/>
  <c r="AH17" i="3"/>
  <c r="AH3" i="3"/>
  <c r="AH54" i="3"/>
  <c r="AH28" i="3"/>
  <c r="AH89" i="3"/>
  <c r="AH18" i="3"/>
  <c r="AH95" i="3"/>
  <c r="AH22" i="3"/>
  <c r="AH7" i="3"/>
  <c r="AH51" i="3"/>
  <c r="AH25" i="3"/>
  <c r="AH19" i="3"/>
  <c r="AH29" i="3"/>
  <c r="AH67" i="3"/>
  <c r="AH44" i="3"/>
  <c r="AH23" i="3"/>
  <c r="AH101" i="3"/>
  <c r="AH78" i="3"/>
  <c r="AH39" i="3"/>
  <c r="AH24" i="3"/>
  <c r="AH10" i="3"/>
  <c r="AH57" i="3"/>
  <c r="AH81" i="3"/>
  <c r="AH105" i="3"/>
  <c r="AH55" i="3"/>
  <c r="AH11" i="3"/>
  <c r="Z105" i="3"/>
  <c r="Z126" i="3"/>
  <c r="Z75" i="3"/>
  <c r="Z94" i="3"/>
  <c r="Z11" i="3"/>
  <c r="Z58" i="3"/>
  <c r="Z64" i="3"/>
  <c r="Z96" i="3"/>
  <c r="Z101" i="3"/>
  <c r="Z35" i="3"/>
  <c r="Z131" i="3"/>
  <c r="Z54" i="3"/>
  <c r="Z99" i="3"/>
  <c r="Z90" i="3"/>
  <c r="BB6" i="3" l="1"/>
  <c r="K6" i="1" s="1"/>
  <c r="BB7" i="3" l="1"/>
  <c r="K8" i="1" s="1"/>
  <c r="A1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M1" authorId="0" shapeId="0" xr:uid="{00000000-0006-0000-0100-000001000000}">
      <text>
        <r>
          <rPr>
            <sz val="10"/>
            <rFont val="Arial"/>
            <family val="2"/>
          </rPr>
          <t>Type your own extra search words here. They are used by the optional keyword box on the Finder tab. Pre-filled with wood / wooden / timber links.</t>
        </r>
      </text>
    </comment>
  </commentList>
</comments>
</file>

<file path=xl/sharedStrings.xml><?xml version="1.0" encoding="utf-8"?>
<sst xmlns="http://schemas.openxmlformats.org/spreadsheetml/2006/main" count="3791" uniqueCount="1129">
  <si>
    <t>NCM Default U-Value Finder</t>
  </si>
  <si>
    <t>Work down the dropdowns. Each one only offers choices that still exist after the ones above it — leave anything you do not know as Any.</t>
  </si>
  <si>
    <t>1  ELEMENT</t>
  </si>
  <si>
    <t>2  TYPE / GROUP</t>
  </si>
  <si>
    <t>3  CONSTRUCTION / MATERIAL</t>
  </si>
  <si>
    <t>Any</t>
  </si>
  <si>
    <t>4  SUBTYPE (GLAZING ONLY)</t>
  </si>
  <si>
    <t>5  REGION</t>
  </si>
  <si>
    <t>6  YEAR / DETAIL</t>
  </si>
  <si>
    <t>KEYWORD (OPTIONAL)</t>
  </si>
  <si>
    <t>Leave blank unless you want to narrow further. Wood, wooden and timber all find the same rows.</t>
  </si>
  <si>
    <t>#</t>
  </si>
  <si>
    <t>Element</t>
  </si>
  <si>
    <t>Type / group</t>
  </si>
  <si>
    <t>Construction / frame</t>
  </si>
  <si>
    <t>Subtype</t>
  </si>
  <si>
    <t>Region</t>
  </si>
  <si>
    <t>Year / detail</t>
  </si>
  <si>
    <t>Regulation</t>
  </si>
  <si>
    <t>U-value (W/m²K)</t>
  </si>
  <si>
    <t>All 418 values come from a single source article — see the About tab. For free sorting and filtering, use the All Data tab.</t>
  </si>
  <si>
    <t>ID</t>
  </si>
  <si>
    <t>Regulation / status</t>
  </si>
  <si>
    <t>Notes</t>
  </si>
  <si>
    <t>Search keywords</t>
  </si>
  <si>
    <t>Source</t>
  </si>
  <si>
    <t>Extra search terms</t>
  </si>
  <si>
    <t>UV-001</t>
  </si>
  <si>
    <t>Wall</t>
  </si>
  <si>
    <t>Solid (Masonry) Wall</t>
  </si>
  <si>
    <t>Cast concrete wall</t>
  </si>
  <si>
    <t>Not specified</t>
  </si>
  <si>
    <t>Internal insulation</t>
  </si>
  <si>
    <t>wall solid masonry wall cast concrete wall not specified internal insulation cast concrete wall not specified internal insulation 0.83 wall walls</t>
  </si>
  <si>
    <t>https://buildingperformanceexplained.com/2026/05/06/ncm-default-u-values-existing-uk-buildings/</t>
  </si>
  <si>
    <t>UV-002</t>
  </si>
  <si>
    <t>Cob wall</t>
  </si>
  <si>
    <t>England &amp; Wales</t>
  </si>
  <si>
    <t>Pre-1982</t>
  </si>
  <si>
    <t>wall solid masonry wall cob wall england and wales pre 1982 cob wall england and wales pre 1982 0.8 england wales e and w ew wall walls</t>
  </si>
  <si>
    <t>UV-003</t>
  </si>
  <si>
    <t>1982 onwards</t>
  </si>
  <si>
    <t>wall solid masonry wall cob wall england and wales 1982 onwards cob wall england and wales 1982 onwards 0.6 england wales e and w ew wall walls</t>
  </si>
  <si>
    <t>UV-004</t>
  </si>
  <si>
    <t>External insulation</t>
  </si>
  <si>
    <t>wall solid masonry wall cob wall not specified external insulation cob wall not specified external insulation 0.39 wall walls</t>
  </si>
  <si>
    <t>UV-005</t>
  </si>
  <si>
    <t>wall solid masonry wall cob wall not specified internal insulation cob wall not specified internal insulation 0.41 wall walls</t>
  </si>
  <si>
    <t>UV-006</t>
  </si>
  <si>
    <t>Heavy partition wall</t>
  </si>
  <si>
    <t>—</t>
  </si>
  <si>
    <t>wall solid masonry wall heavy partition wall not specified heavy partition wall not specified 3.5 wall walls</t>
  </si>
  <si>
    <t>UV-007</t>
  </si>
  <si>
    <t>Masonry wall with rainscreen</t>
  </si>
  <si>
    <t>wall solid masonry wall masonry wall with rainscreen not specified masonry wall with rainscreen not specified 1.7 wall walls</t>
  </si>
  <si>
    <t>UV-008</t>
  </si>
  <si>
    <t>Solid brick wall, 110mm</t>
  </si>
  <si>
    <t>Uninsulated</t>
  </si>
  <si>
    <t>wall solid masonry wall solid brick wall 110mm england and wales uninsulated solid brick wall 110mm england and wales uninsulated 3.1 england wales e and w ew wall walls</t>
  </si>
  <si>
    <t>UV-009</t>
  </si>
  <si>
    <t>Dry lined</t>
  </si>
  <si>
    <t>wall solid masonry wall solid brick wall 110mm england and wales dry lined solid brick wall 110mm england and wales dry lined 1.9 england wales e and w ew wall walls</t>
  </si>
  <si>
    <t>UV-010</t>
  </si>
  <si>
    <t>Insulated</t>
  </si>
  <si>
    <t>wall solid masonry wall solid brick wall 110mm england and wales insulated solid brick wall 110mm england and wales insulated 0.6 england wales e and w ew wall walls</t>
  </si>
  <si>
    <t>UV-011</t>
  </si>
  <si>
    <t>Solid brick wall, 225mm</t>
  </si>
  <si>
    <t>Pre-1919 uninsulated</t>
  </si>
  <si>
    <t>wall solid masonry wall solid brick wall 225mm not specified pre 1919 uninsulated solid brick wall 225mm not specified pre 1919 uninsulated 1.7 wall walls</t>
  </si>
  <si>
    <t>UV-012</t>
  </si>
  <si>
    <t>Solid brick wall, 230mm</t>
  </si>
  <si>
    <t>wall solid masonry wall solid brick wall 230mm england and wales dry lined solid brick wall 230mm england and wales dry lined 1.41 england wales e and w ew wall walls</t>
  </si>
  <si>
    <t>UV-013</t>
  </si>
  <si>
    <t>wall solid masonry wall solid brick wall 230mm england and wales insulated solid brick wall 230mm england and wales insulated 0.63 england wales e and w ew wall walls</t>
  </si>
  <si>
    <t>UV-014</t>
  </si>
  <si>
    <t>Solid brick wall, 340mm</t>
  </si>
  <si>
    <t>wall solid masonry wall solid brick wall 340mm england and wales pre 1919 uninsulated solid brick wall 340mm england and wales pre 1919 uninsulated 1.6 england wales e and w ew wall walls</t>
  </si>
  <si>
    <t>UV-015</t>
  </si>
  <si>
    <t>wall solid masonry wall solid brick wall 340mm england and wales dry lined solid brick wall 340mm england and wales dry lined 1.2 england wales e and w ew wall walls</t>
  </si>
  <si>
    <t>UV-016</t>
  </si>
  <si>
    <t>wall solid masonry wall solid brick wall 340mm england and wales insulated solid brick wall 340mm england and wales insulated 0.5 england wales e and w ew wall walls</t>
  </si>
  <si>
    <t>UV-017</t>
  </si>
  <si>
    <t>Solid concrete wall</t>
  </si>
  <si>
    <t>wall solid masonry wall solid concrete wall not specified uninsulated solid concrete wall not specified uninsulated 1.7 wall walls</t>
  </si>
  <si>
    <t>UV-018</t>
  </si>
  <si>
    <t>wall solid masonry wall solid concrete wall england and wales dry lined solid concrete wall england and wales dry lined 1.2 england wales e and w ew wall walls</t>
  </si>
  <si>
    <t>UV-019</t>
  </si>
  <si>
    <t>Solid no fines concrete wall</t>
  </si>
  <si>
    <t>wall solid masonry wall solid no fines concrete wall england and wales solid no fines concrete wall england and wales 1.63 england wales e and w ew wall walls</t>
  </si>
  <si>
    <t>UV-020</t>
  </si>
  <si>
    <t>Solid stone wall – Granite or Whin</t>
  </si>
  <si>
    <t>wall solid masonry wall solid stone wall granite or whin england and wales uninsulated solid stone wall granite or whin england and wales uninsulated 1.83 england wales e and w ew wall walls</t>
  </si>
  <si>
    <t>UV-021</t>
  </si>
  <si>
    <t>wall solid masonry wall solid stone wall granite or whin england and wales dry lined solid stone wall granite or whin england and wales dry lined 1.38 england wales e and w ew wall walls</t>
  </si>
  <si>
    <t>UV-022</t>
  </si>
  <si>
    <t>wall solid masonry wall solid stone wall granite or whin england and wales insulated solid stone wall granite or whin england and wales insulated 0.83 england wales e and w ew wall walls</t>
  </si>
  <si>
    <t>UV-023</t>
  </si>
  <si>
    <t>Solid stone wall – Sandstone</t>
  </si>
  <si>
    <t>wall solid masonry wall solid stone wall sandstone england and wales uninsulated solid stone wall sandstone england and wales uninsulated 1.83 england wales e and w ew wall walls</t>
  </si>
  <si>
    <t>UV-024</t>
  </si>
  <si>
    <t>wall solid masonry wall solid stone wall sandstone england and wales dry lined solid stone wall sandstone england and wales dry lined 1.38 england wales e and w ew wall walls</t>
  </si>
  <si>
    <t>UV-025</t>
  </si>
  <si>
    <t>wall solid masonry wall solid stone wall sandstone england and wales insulated solid stone wall sandstone england and wales insulated 0.83 england wales e and w ew wall walls</t>
  </si>
  <si>
    <t>UV-026</t>
  </si>
  <si>
    <t>Solid wall</t>
  </si>
  <si>
    <t>1974-1980</t>
  </si>
  <si>
    <t>wall solid masonry wall solid wall england and wales 1974 1980 solid wall england and wales 1974 1980 1.7 england wales e and w ew wall walls</t>
  </si>
  <si>
    <t>UV-027</t>
  </si>
  <si>
    <t>1980/85</t>
  </si>
  <si>
    <t>Part L</t>
  </si>
  <si>
    <t>wall solid masonry wall solid wall england and wales 1980 85 part l solid wall england and wales 1980 85 part l 0.6 england wales e and w ew wall walls</t>
  </si>
  <si>
    <t>UV-028</t>
  </si>
  <si>
    <t>1990</t>
  </si>
  <si>
    <t>wall solid masonry wall solid wall england and wales 1990 part l solid wall england and wales 1990 part l 0.45 england wales e and w ew wall walls</t>
  </si>
  <si>
    <t>UV-029</t>
  </si>
  <si>
    <t>1995</t>
  </si>
  <si>
    <t>wall solid masonry wall solid wall england and wales 1995 part l solid wall england and wales 1995 part l 0.45 england wales e and w ew wall walls</t>
  </si>
  <si>
    <t>UV-030</t>
  </si>
  <si>
    <t>2002</t>
  </si>
  <si>
    <t>wall solid masonry wall solid wall england and wales 2002 part l solid wall england and wales 2002 part l 0.35 england wales e and w ew wall walls</t>
  </si>
  <si>
    <t>UV-031</t>
  </si>
  <si>
    <t>2006/2010</t>
  </si>
  <si>
    <t>wall solid masonry wall solid wall england and wales 2006 2010 part l solid wall england and wales 2006 2010 part l 0.35 england wales e and w ew wall walls</t>
  </si>
  <si>
    <t>UV-032</t>
  </si>
  <si>
    <t>Northern Ireland</t>
  </si>
  <si>
    <t>2006</t>
  </si>
  <si>
    <t>Part F</t>
  </si>
  <si>
    <t>wall solid masonry wall solid wall northern ireland 2006 part f solid wall northern ireland 2006 part f 0.35 northern ireland ni wall walls</t>
  </si>
  <si>
    <t>UV-033</t>
  </si>
  <si>
    <t>Scotland</t>
  </si>
  <si>
    <t>1975-1981</t>
  </si>
  <si>
    <t>wall solid masonry wall solid wall scotland 1975 1981 solid wall scotland 1975 1981 1 scotland sco wall walls</t>
  </si>
  <si>
    <t>UV-034</t>
  </si>
  <si>
    <t>1982-1990</t>
  </si>
  <si>
    <t>wall solid masonry wall solid wall scotland 1982 1990 solid wall scotland 1982 1990 0.6 scotland sco wall walls</t>
  </si>
  <si>
    <t>UV-035</t>
  </si>
  <si>
    <t>1991-1996</t>
  </si>
  <si>
    <t>wall solid masonry wall solid wall scotland 1991 1996 solid wall scotland 1991 1996 0.45 scotland sco wall walls</t>
  </si>
  <si>
    <t>UV-036</t>
  </si>
  <si>
    <t>1997-2001</t>
  </si>
  <si>
    <t>wall solid masonry wall solid wall scotland 1997 2001 solid wall scotland 1997 2001 0.45 scotland sco wall walls</t>
  </si>
  <si>
    <t>UV-037</t>
  </si>
  <si>
    <t>Part J</t>
  </si>
  <si>
    <t>wall solid masonry wall solid wall scotland 2002 part j solid wall scotland 2002 part j 0.3 scotland sco wall walls</t>
  </si>
  <si>
    <t>UV-038</t>
  </si>
  <si>
    <t>2007</t>
  </si>
  <si>
    <t>Section 6</t>
  </si>
  <si>
    <t>wall solid masonry wall solid wall scotland 2007 section 6 solid wall scotland 2007 section 6 0.25 scotland sco wall walls</t>
  </si>
  <si>
    <t>UV-039</t>
  </si>
  <si>
    <t>wall solid masonry wall solid wall not specified external insulation solid wall not specified external insulation 0.33 wall walls</t>
  </si>
  <si>
    <t>UV-040</t>
  </si>
  <si>
    <t>Cavity Wall (Clear)</t>
  </si>
  <si>
    <t>Clear cavity wall</t>
  </si>
  <si>
    <t>Pre-1974</t>
  </si>
  <si>
    <t>wall cavity wall clear clear cavity wall england and wales pre 1974 clear cavity wall england and wales pre 1974 1.6 england wales e and w ew wall walls</t>
  </si>
  <si>
    <t>UV-041</t>
  </si>
  <si>
    <t>wall cavity wall clear clear cavity wall england and wales 1974 1980 clear cavity wall england and wales 1974 1980 1 england wales e and w ew wall walls</t>
  </si>
  <si>
    <t>UV-042</t>
  </si>
  <si>
    <t>1977 or earlier</t>
  </si>
  <si>
    <t>wall cavity wall clear clear cavity wall northern ireland 1977 or earlier clear cavity wall northern ireland 1977 or earlier 1.7 northern ireland ni wall walls</t>
  </si>
  <si>
    <t>UV-043</t>
  </si>
  <si>
    <t>1978-1983</t>
  </si>
  <si>
    <t>wall cavity wall clear clear cavity wall northern ireland 1978 1983 clear cavity wall northern ireland 1978 1983 1 northern ireland ni wall walls</t>
  </si>
  <si>
    <t>UV-044</t>
  </si>
  <si>
    <t>Pre-1975</t>
  </si>
  <si>
    <t>wall cavity wall clear clear cavity wall scotland pre 1975 clear cavity wall scotland pre 1975 2.4 scotland sco wall walls</t>
  </si>
  <si>
    <t>UV-045</t>
  </si>
  <si>
    <t>wall cavity wall clear clear cavity wall scotland 1975 1981 clear cavity wall scotland 1975 1981 1 scotland sco wall walls</t>
  </si>
  <si>
    <t>UV-046</t>
  </si>
  <si>
    <t>wall cavity wall clear clear cavity wall scotland 1982 1990 clear cavity wall scotland 1982 1990 0.6 scotland sco wall walls</t>
  </si>
  <si>
    <t>UV-047</t>
  </si>
  <si>
    <t>wall cavity wall clear clear cavity wall scotland 1991 1996 clear cavity wall scotland 1991 1996 0.45 scotland sco wall walls</t>
  </si>
  <si>
    <t>UV-048</t>
  </si>
  <si>
    <t>wall cavity wall clear clear cavity wall scotland 1997 2001 clear cavity wall scotland 1997 2001 0.45 scotland sco wall walls</t>
  </si>
  <si>
    <t>UV-049</t>
  </si>
  <si>
    <t>2002-2006</t>
  </si>
  <si>
    <t>wall cavity wall clear clear cavity wall scotland 2002 2006 clear cavity wall scotland 2002 2006 0.3 scotland sco wall walls</t>
  </si>
  <si>
    <t>UV-050</t>
  </si>
  <si>
    <t>wall cavity wall clear clear cavity wall scotland 2007 section 6 clear cavity wall scotland 2007 section 6 0.25 scotland sco wall walls</t>
  </si>
  <si>
    <t>UV-051</t>
  </si>
  <si>
    <t>Cavity Wall (Full Fill)</t>
  </si>
  <si>
    <t>Cavity wall</t>
  </si>
  <si>
    <t>wall cavity wall full fill cavity wall england and wales 1980 85 part l cavity wall england and wales 1980 85 part l 0.65 england wales e and w ew wall walls</t>
  </si>
  <si>
    <t>UV-052</t>
  </si>
  <si>
    <t>wall cavity wall full fill cavity wall england and wales 1990 part l cavity wall england and wales 1990 part l 0.55 england wales e and w ew wall walls</t>
  </si>
  <si>
    <t>UV-053</t>
  </si>
  <si>
    <t>wall cavity wall full fill cavity wall england and wales 1995 part l cavity wall england and wales 1995 part l 0.51 england wales e and w ew wall walls</t>
  </si>
  <si>
    <t>UV-054</t>
  </si>
  <si>
    <t>wall cavity wall full fill cavity wall england and wales 2002 part l cavity wall england and wales 2002 part l 0.35 england wales e and w ew wall walls</t>
  </si>
  <si>
    <t>UV-055</t>
  </si>
  <si>
    <t>wall cavity wall full fill cavity wall england and wales 2006 2010 part l cavity wall england and wales 2006 2010 part l 0.27 england wales e and w ew wall walls</t>
  </si>
  <si>
    <t>UV-056</t>
  </si>
  <si>
    <t>Fully filled cavity wall</t>
  </si>
  <si>
    <t>50mm min. wool</t>
  </si>
  <si>
    <t>wall cavity wall full fill fully filled cavity wall not specified 50mm min. wool fully filled cavity wall not specified 50mm min. wool 0.53 wall walls</t>
  </si>
  <si>
    <t>UV-057</t>
  </si>
  <si>
    <t>75mm min. wool</t>
  </si>
  <si>
    <t>wall cavity wall full fill fully filled cavity wall not specified 75mm min. wool fully filled cavity wall not specified 75mm min. wool 0.41 wall walls</t>
  </si>
  <si>
    <t>UV-058</t>
  </si>
  <si>
    <t>100mm min. wool</t>
  </si>
  <si>
    <t>wall cavity wall full fill fully filled cavity wall not specified 100mm min. wool fully filled cavity wall not specified 100mm min. wool 0.32 wall walls</t>
  </si>
  <si>
    <t>UV-059</t>
  </si>
  <si>
    <t>Cavity Wall (Partial Fill)</t>
  </si>
  <si>
    <t>Cavity wall retro insulation</t>
  </si>
  <si>
    <t>Retrofit</t>
  </si>
  <si>
    <t>wall cavity wall partial fill cavity wall retro insulation england and wales retrofit cavity wall retro insulation england and wales retrofit 0.63 england wales e and w ew wall walls</t>
  </si>
  <si>
    <t>UV-060</t>
  </si>
  <si>
    <t>1984-1991</t>
  </si>
  <si>
    <t>wall cavity wall partial fill cavity wall northern ireland 1984 1991 cavity wall northern ireland 1984 1991 0.6 northern ireland ni wall walls</t>
  </si>
  <si>
    <t>UV-061</t>
  </si>
  <si>
    <t>1992-1999</t>
  </si>
  <si>
    <t>wall cavity wall partial fill cavity wall northern ireland 1992 1999 cavity wall northern ireland 1992 1999 0.55 northern ireland ni wall walls</t>
  </si>
  <si>
    <t>UV-062</t>
  </si>
  <si>
    <t>2000-2005</t>
  </si>
  <si>
    <t>wall cavity wall partial fill cavity wall northern ireland 2000 2005 cavity wall northern ireland 2000 2005 0.45 northern ireland ni wall walls</t>
  </si>
  <si>
    <t>UV-063</t>
  </si>
  <si>
    <t>wall cavity wall partial fill cavity wall northern ireland 2006 part f cavity wall northern ireland 2006 part f 0.27 northern ireland ni wall walls</t>
  </si>
  <si>
    <t>UV-064</t>
  </si>
  <si>
    <t>wall cavity wall partial fill cavity wall scotland 1982 1990 cavity wall scotland 1982 1990 0.6 scotland sco wall walls</t>
  </si>
  <si>
    <t>UV-065</t>
  </si>
  <si>
    <t>wall cavity wall partial fill cavity wall scotland 1991 1996 cavity wall scotland 1991 1996 0.45 scotland sco wall walls</t>
  </si>
  <si>
    <t>UV-066</t>
  </si>
  <si>
    <t>wall cavity wall partial fill cavity wall scotland 1997 2001 cavity wall scotland 1997 2001 0.45 scotland sco wall walls</t>
  </si>
  <si>
    <t>UV-067</t>
  </si>
  <si>
    <t>wall cavity wall partial fill cavity wall scotland 2002 2006 cavity wall scotland 2002 2006 0.3 scotland sco wall walls</t>
  </si>
  <si>
    <t>UV-068</t>
  </si>
  <si>
    <t>wall cavity wall partial fill cavity wall scotland 2007 section 6 cavity wall scotland 2007 section 6 0.25 scotland sco wall walls</t>
  </si>
  <si>
    <t>UV-069</t>
  </si>
  <si>
    <t>Partially filled cavity wall</t>
  </si>
  <si>
    <t>wall cavity wall partial fill partially filled cavity wall not specified 50mm min. wool partially filled cavity wall not specified 50mm min. wool 0.57 wall walls</t>
  </si>
  <si>
    <t>UV-070</t>
  </si>
  <si>
    <t>50mm phenolic foam</t>
  </si>
  <si>
    <t>wall cavity wall partial fill partially filled cavity wall not specified 50mm phenolic foam partially filled cavity wall not specified 50mm phenolic foam 0.4 wall walls</t>
  </si>
  <si>
    <t>UV-071</t>
  </si>
  <si>
    <t>50mm polyurethane</t>
  </si>
  <si>
    <t>wall cavity wall partial fill partially filled cavity wall not specified 50mm polyurethane partially filled cavity wall not specified 50mm polyurethane 0.31 wall walls</t>
  </si>
  <si>
    <t>UV-072</t>
  </si>
  <si>
    <t>wall cavity wall partial fill partially filled cavity wall not specified 75mm min. wool partially filled cavity wall not specified 75mm min. wool 0.43 wall walls</t>
  </si>
  <si>
    <t>UV-073</t>
  </si>
  <si>
    <t>75mm phenolic foam</t>
  </si>
  <si>
    <t>wall cavity wall partial fill partially filled cavity wall not specified 75mm phenolic foam partially filled cavity wall not specified 75mm phenolic foam 0.22 wall walls</t>
  </si>
  <si>
    <t>UV-074</t>
  </si>
  <si>
    <t>75mm polyurethane</t>
  </si>
  <si>
    <t>wall cavity wall partial fill partially filled cavity wall not specified 75mm polyurethane partially filled cavity wall not specified 75mm polyurethane 0.23 wall walls</t>
  </si>
  <si>
    <t>UV-075</t>
  </si>
  <si>
    <t>Semi-exposed wall</t>
  </si>
  <si>
    <t>wall cavity wall partial fill semi exposed wall scotland 1982 1990 semi exposed wall scotland 1982 1990 0.7 scotland sco wall walls</t>
  </si>
  <si>
    <t>UV-076</t>
  </si>
  <si>
    <t>wall cavity wall partial fill semi exposed wall scotland 1991 1996 semi exposed wall scotland 1991 1996 0.6 scotland sco wall walls</t>
  </si>
  <si>
    <t>UV-077</t>
  </si>
  <si>
    <t>wall cavity wall partial fill semi exposed wall scotland 1997 2001 semi exposed wall scotland 1997 2001 0.6 scotland sco wall walls</t>
  </si>
  <si>
    <t>UV-078</t>
  </si>
  <si>
    <t>Non-Structural Wall (Metal)</t>
  </si>
  <si>
    <t>Steel wall</t>
  </si>
  <si>
    <t>No insulation</t>
  </si>
  <si>
    <t>wall non structural wall metal steel wall not specified no insulation steel wall not specified no insulation 5.7 wall walls</t>
  </si>
  <si>
    <t>UV-079</t>
  </si>
  <si>
    <t>Metal cladding plus internal block</t>
  </si>
  <si>
    <t>Pre-1980</t>
  </si>
  <si>
    <t>wall non structural wall metal metal cladding plus internal block england and wales pre 1980 uninsulated metal cladding plus internal block england and wales pre 1980 uninsulated 2.3 england wales e and w ew wall walls</t>
  </si>
  <si>
    <t>UV-080</t>
  </si>
  <si>
    <t>wall non structural wall metal metal cladding plus internal block england and wales 1980 85 part l metal cladding plus internal block england and wales 1980 85 part l 0.6 england wales e and w ew wall walls</t>
  </si>
  <si>
    <t>UV-081</t>
  </si>
  <si>
    <t>1990/95</t>
  </si>
  <si>
    <t>wall non structural wall metal metal cladding plus internal block england and wales 1990 95 part l metal cladding plus internal block england and wales 1990 95 part l 0.45 england wales e and w ew wall walls</t>
  </si>
  <si>
    <t>UV-082</t>
  </si>
  <si>
    <t>wall non structural wall metal metal cladding plus internal block england and wales 2002 part l metal cladding plus internal block england and wales 2002 part l 0.35 england wales e and w ew wall walls</t>
  </si>
  <si>
    <t>UV-083</t>
  </si>
  <si>
    <t>wall non structural wall metal metal cladding plus internal block england and wales 2006 part l metal cladding plus internal block england and wales 2006 part l 0.35 england wales e and w ew wall walls</t>
  </si>
  <si>
    <t>UV-084</t>
  </si>
  <si>
    <t>Metal cladding wall</t>
  </si>
  <si>
    <t>Pre-1981</t>
  </si>
  <si>
    <t>wall non structural wall metal metal cladding wall england and wales pre 1981 metal cladding wall england and wales pre 1981 1.7 england wales e and w ew wall walls</t>
  </si>
  <si>
    <t>UV-085</t>
  </si>
  <si>
    <t>wall non structural wall metal metal cladding wall england and wales 1980 85 part l metal cladding wall england and wales 1980 85 part l 0.6 england wales e and w ew wall walls</t>
  </si>
  <si>
    <t>UV-086</t>
  </si>
  <si>
    <t>wall non structural wall metal metal cladding wall england and wales 1990 part l metal cladding wall england and wales 1990 part l 0.45 england wales e and w ew wall walls</t>
  </si>
  <si>
    <t>UV-087</t>
  </si>
  <si>
    <t>wall non structural wall metal metal cladding wall england and wales 1995 part l metal cladding wall england and wales 1995 part l 0.45 england wales e and w ew wall walls</t>
  </si>
  <si>
    <t>UV-088</t>
  </si>
  <si>
    <t>wall non structural wall metal metal cladding wall england and wales 2002 part l metal cladding wall england and wales 2002 part l 0.35 england wales e and w ew wall walls</t>
  </si>
  <si>
    <t>UV-089</t>
  </si>
  <si>
    <t>wall non structural wall metal metal cladding wall england and wales 2006 2010 part l metal cladding wall england and wales 2006 2010 part l 0.35 england wales e and w ew wall walls</t>
  </si>
  <si>
    <t>UV-090</t>
  </si>
  <si>
    <t>wall non structural wall metal metal cladding wall northern ireland 2006 part f metal cladding wall northern ireland 2006 part f 0.35 northern ireland ni wall walls</t>
  </si>
  <si>
    <t>UV-091</t>
  </si>
  <si>
    <t>wall non structural wall metal metal cladding wall scotland pre 1975 metal cladding wall scotland pre 1975 1.7 scotland sco wall walls</t>
  </si>
  <si>
    <t>UV-092</t>
  </si>
  <si>
    <t>wall non structural wall metal metal cladding wall scotland 1975 1981 metal cladding wall scotland 1975 1981 1 scotland sco wall walls</t>
  </si>
  <si>
    <t>UV-093</t>
  </si>
  <si>
    <t>wall non structural wall metal metal cladding wall scotland 1982 1990 metal cladding wall scotland 1982 1990 0.6 scotland sco wall walls</t>
  </si>
  <si>
    <t>UV-094</t>
  </si>
  <si>
    <t>wall non structural wall metal metal cladding wall scotland 1991 1996 metal cladding wall scotland 1991 1996 0.45 scotland sco wall walls</t>
  </si>
  <si>
    <t>UV-095</t>
  </si>
  <si>
    <t>wall non structural wall metal metal cladding wall scotland 1997 2001 metal cladding wall scotland 1997 2001 0.45 scotland sco wall walls</t>
  </si>
  <si>
    <t>UV-096</t>
  </si>
  <si>
    <t>wall non structural wall metal metal cladding wall scotland 2002 2006 metal cladding wall scotland 2002 2006 0.3 scotland sco wall walls</t>
  </si>
  <si>
    <t>UV-097</t>
  </si>
  <si>
    <t>wall non structural wall metal metal cladding wall scotland 2007 section 6 metal cladding wall scotland 2007 section 6 0.25 scotland sco wall walls</t>
  </si>
  <si>
    <t>UV-098</t>
  </si>
  <si>
    <t>Metal sheet wall</t>
  </si>
  <si>
    <t>wall non structural wall metal metal sheet wall not specified uninsulated metal sheet wall not specified uninsulated 5.7 wall walls</t>
  </si>
  <si>
    <t>UV-099</t>
  </si>
  <si>
    <t>Timber Frame Wall</t>
  </si>
  <si>
    <t>Log cabin wall</t>
  </si>
  <si>
    <t>wall timber frame wall log cabin wall not specified insulated log cabin wall not specified insulated 0.4 wall walls</t>
  </si>
  <si>
    <t>wood wooden</t>
  </si>
  <si>
    <t>UV-100</t>
  </si>
  <si>
    <t>wall timber frame wall log cabin wall not specified uninsulated log cabin wall not specified uninsulated 0.76 wall walls</t>
  </si>
  <si>
    <t>UV-101</t>
  </si>
  <si>
    <t>Stud wall to roof void</t>
  </si>
  <si>
    <t>wall timber frame wall stud wall to roof void england and wales 1980 85 part l stud wall to roof void england and wales 1980 85 part l 0.6 england wales e and w ew wall walls</t>
  </si>
  <si>
    <t>UV-102</t>
  </si>
  <si>
    <t>wall timber frame wall stud wall to roof void england and wales 1990 part l stud wall to roof void england and wales 1990 part l 0.45 england wales e and w ew wall walls</t>
  </si>
  <si>
    <t>UV-103</t>
  </si>
  <si>
    <t>wall timber frame wall stud wall to roof void england and wales 1995 part l stud wall to roof void england and wales 1995 part l 0.45 england wales e and w ew wall walls</t>
  </si>
  <si>
    <t>UV-104</t>
  </si>
  <si>
    <t>wall timber frame wall stud wall to roof void england and wales 2002 part l stud wall to roof void england and wales 2002 part l 0.35 england wales e and w ew wall walls</t>
  </si>
  <si>
    <t>UV-105</t>
  </si>
  <si>
    <t>wall timber frame wall stud wall to roof void england and wales 2006 2010 part l stud wall to roof void england and wales 2006 2010 part l 0.35 england wales e and w ew wall walls</t>
  </si>
  <si>
    <t>UV-106</t>
  </si>
  <si>
    <t>wall timber frame wall stud wall to roof void not specified uninsulated stud wall to roof void not specified uninsulated 1.2 wall walls</t>
  </si>
  <si>
    <t>UV-107</t>
  </si>
  <si>
    <t>25mm quilt</t>
  </si>
  <si>
    <t>wall timber frame wall stud wall to roof void not specified 25mm quilt stud wall to roof void not specified 25mm quilt 0.6 wall walls</t>
  </si>
  <si>
    <t>UV-108</t>
  </si>
  <si>
    <t>50mm quilt</t>
  </si>
  <si>
    <t>wall timber frame wall stud wall to roof void not specified 50mm quilt stud wall to roof void not specified 50mm quilt 0.37 wall walls</t>
  </si>
  <si>
    <t>UV-109</t>
  </si>
  <si>
    <t>75mm quilt</t>
  </si>
  <si>
    <t>wall timber frame wall stud wall to roof void not specified 75mm quilt stud wall to roof void not specified 75mm quilt 0.27 wall walls</t>
  </si>
  <si>
    <t>UV-110</t>
  </si>
  <si>
    <t>100mm quilt</t>
  </si>
  <si>
    <t>wall timber frame wall stud wall to roof void not specified 100mm quilt stud wall to roof void not specified 100mm quilt 0.21 wall walls</t>
  </si>
  <si>
    <t>UV-111</t>
  </si>
  <si>
    <t>150mm quilt</t>
  </si>
  <si>
    <t>wall timber frame wall stud wall to roof void not specified 150mm quilt stud wall to roof void not specified 150mm quilt 0.15 wall walls</t>
  </si>
  <si>
    <t>UV-112</t>
  </si>
  <si>
    <t>200mm quilt</t>
  </si>
  <si>
    <t>wall timber frame wall stud wall to roof void not specified 200mm quilt stud wall to roof void not specified 200mm quilt 0.12 wall walls</t>
  </si>
  <si>
    <t>UV-113</t>
  </si>
  <si>
    <t>250mm quilt</t>
  </si>
  <si>
    <t>wall timber frame wall stud wall to roof void not specified 250mm quilt stud wall to roof void not specified 250mm quilt 0.09 wall walls</t>
  </si>
  <si>
    <t>UV-114</t>
  </si>
  <si>
    <t>300mm quilt</t>
  </si>
  <si>
    <t>wall timber frame wall stud wall to roof void not specified 300mm quilt stud wall to roof void not specified 300mm quilt 0.08 wall walls</t>
  </si>
  <si>
    <t>UV-115</t>
  </si>
  <si>
    <t>Thin lightweight partition wall</t>
  </si>
  <si>
    <t>wall timber frame wall thin lightweight partition wall not specified thin lightweight partition wall not specified 0.45 wall walls</t>
  </si>
  <si>
    <t>UV-116</t>
  </si>
  <si>
    <t>Timber frame wall</t>
  </si>
  <si>
    <t>1980/1985</t>
  </si>
  <si>
    <t>wall timber frame wall timber frame wall england and wales 1980 1985 part l timber frame wall england and wales 1980 1985 part l 0.6 england wales e and w ew wall walls</t>
  </si>
  <si>
    <t>UV-117</t>
  </si>
  <si>
    <t>wall timber frame wall timber frame wall england and wales 1990 part l timber frame wall england and wales 1990 part l 0.45 england wales e and w ew wall walls</t>
  </si>
  <si>
    <t>UV-118</t>
  </si>
  <si>
    <t>wall timber frame wall timber frame wall england and wales 1995 part l timber frame wall england and wales 1995 part l 0.45 england wales e and w ew wall walls</t>
  </si>
  <si>
    <t>UV-119</t>
  </si>
  <si>
    <t>wall timber frame wall timber frame wall england and wales 2002 part l timber frame wall england and wales 2002 part l 0.35 england wales e and w ew wall walls</t>
  </si>
  <si>
    <t>UV-120</t>
  </si>
  <si>
    <t>wall timber frame wall timber frame wall england and wales 2006 2010 part l timber frame wall england and wales 2006 2010 part l 0.3 england wales e and w ew wall walls</t>
  </si>
  <si>
    <t>UV-121</t>
  </si>
  <si>
    <t>wall timber frame wall timber frame wall northern ireland 1992 1999 timber frame wall northern ireland 1992 1999 0.45 northern ireland ni wall walls</t>
  </si>
  <si>
    <t>UV-122</t>
  </si>
  <si>
    <t>wall timber frame wall timber frame wall northern ireland 2000 2005 timber frame wall northern ireland 2000 2005 0.35 northern ireland ni wall walls</t>
  </si>
  <si>
    <t>UV-123</t>
  </si>
  <si>
    <t>wall timber frame wall timber frame wall northern ireland 2006 part f timber frame wall northern ireland 2006 part f 0.35 northern ireland ni wall walls</t>
  </si>
  <si>
    <t>UV-124</t>
  </si>
  <si>
    <t>1991</t>
  </si>
  <si>
    <t>wall timber frame wall timber frame wall scotland 1991 part j timber frame wall scotland 1991 part j 0.45 scotland sco wall walls</t>
  </si>
  <si>
    <t>UV-125</t>
  </si>
  <si>
    <t>1997</t>
  </si>
  <si>
    <t>Part J (S)</t>
  </si>
  <si>
    <t>wall timber frame wall timber frame wall scotland 1997 part j s timber frame wall scotland 1997 part j s 0.45 scotland sco wall walls</t>
  </si>
  <si>
    <t>UV-126</t>
  </si>
  <si>
    <t>wall timber frame wall timber frame wall scotland 2002 part j timber frame wall scotland 2002 part j 0.3 scotland sco wall walls</t>
  </si>
  <si>
    <t>UV-127</t>
  </si>
  <si>
    <t>wall timber frame wall timber frame wall scotland 2006 section 6 timber frame wall scotland 2006 section 6 0.3 scotland sco wall walls</t>
  </si>
  <si>
    <t>UV-128</t>
  </si>
  <si>
    <t>89mm studs</t>
  </si>
  <si>
    <t>wall timber frame wall timber frame wall not specified 89mm studs timber frame wall not specified 89mm studs 0.42 wall walls</t>
  </si>
  <si>
    <t>UV-129</t>
  </si>
  <si>
    <t>140mm studs</t>
  </si>
  <si>
    <t>wall timber frame wall timber frame wall not specified 140mm studs timber frame wall not specified 140mm studs 0.3 wall walls</t>
  </si>
  <si>
    <t>UV-130</t>
  </si>
  <si>
    <t>35mm PUR on sheathing</t>
  </si>
  <si>
    <t>wall timber frame wall timber frame wall not specified 35mm pur on sheathing timber frame wall not specified 35mm pur on sheathing 0.26 wall walls</t>
  </si>
  <si>
    <t>UV-131</t>
  </si>
  <si>
    <t>wall timber frame wall timber frame wall not specified 50mm phenolic foam timber frame wall not specified 50mm phenolic foam 0.13 wall walls</t>
  </si>
  <si>
    <t>UV-132</t>
  </si>
  <si>
    <t>wall timber frame wall timber frame wall not specified uninsulated timber frame wall not specified uninsulated 1.14 wall walls</t>
  </si>
  <si>
    <t>UV-133</t>
  </si>
  <si>
    <t>Timber framed (masonry inner leaf)</t>
  </si>
  <si>
    <t>wall timber frame wall timber framed masonry inner leaf england and wales uninsulated timber framed masonry inner leaf england and wales uninsulated 1.2 england wales e and w ew wall walls</t>
  </si>
  <si>
    <t>UV-134</t>
  </si>
  <si>
    <t>Retrofit insulation</t>
  </si>
  <si>
    <t>wall timber frame wall timber framed masonry inner leaf england and wales retrofit insulation timber framed masonry inner leaf england and wales retrofit insulation 0.45 england wales e and w ew wall walls</t>
  </si>
  <si>
    <t>UV-135</t>
  </si>
  <si>
    <t>wall timber frame wall timber framed masonry inner leaf england and wales 1980 85 part l timber framed masonry inner leaf england and wales 1980 85 part l 0.6 england wales e and w ew wall walls</t>
  </si>
  <si>
    <t>UV-136</t>
  </si>
  <si>
    <t>wall timber frame wall timber framed masonry inner leaf england and wales 1990 95 part l timber framed masonry inner leaf england and wales 1990 95 part l 0.45 england wales e and w ew wall walls</t>
  </si>
  <si>
    <t>UV-137</t>
  </si>
  <si>
    <t>wall timber frame wall timber framed masonry inner leaf england and wales 2002 part l timber framed masonry inner leaf england and wales 2002 part l 0.35 england wales e and w ew wall walls</t>
  </si>
  <si>
    <t>UV-138</t>
  </si>
  <si>
    <t>wall timber frame wall timber framed masonry inner leaf england and wales 2006 part l timber framed masonry inner leaf england and wales 2006 part l 0.35 england wales e and w ew wall walls</t>
  </si>
  <si>
    <t>UV-139</t>
  </si>
  <si>
    <t>Timber framed (masonry outer leaf)</t>
  </si>
  <si>
    <t>wall timber frame wall timber framed masonry outer leaf england and wales retrofit insulation timber framed masonry outer leaf england and wales retrofit insulation 0.42 england wales e and w ew wall walls</t>
  </si>
  <si>
    <t>UV-140</t>
  </si>
  <si>
    <t>Timber framed (no solid leaf)</t>
  </si>
  <si>
    <t>wall timber frame wall timber framed no solid leaf england and wales uninsulated timber framed no solid leaf england and wales uninsulated 1.6 england wales e and w ew wall walls</t>
  </si>
  <si>
    <t>UV-141</t>
  </si>
  <si>
    <t>wall timber frame wall timber framed no solid leaf england and wales retrofit insulation timber framed no solid leaf england and wales retrofit insulation 0.45 england wales e and w ew wall walls</t>
  </si>
  <si>
    <t>UV-142</t>
  </si>
  <si>
    <t>wall timber frame wall timber framed no solid leaf england and wales 1980 85 part l timber framed no solid leaf england and wales 1980 85 part l 0.6 england wales e and w ew wall walls</t>
  </si>
  <si>
    <t>UV-143</t>
  </si>
  <si>
    <t>wall timber frame wall timber framed no solid leaf england and wales 1990 95 part l timber framed no solid leaf england and wales 1990 95 part l 0.45 england wales e and w ew wall walls</t>
  </si>
  <si>
    <t>UV-144</t>
  </si>
  <si>
    <t>wall timber frame wall timber framed no solid leaf england and wales 2002 part l timber framed no solid leaf england and wales 2002 part l 0.35 england wales e and w ew wall walls</t>
  </si>
  <si>
    <t>UV-145</t>
  </si>
  <si>
    <t>wall timber frame wall timber framed no solid leaf england and wales 2006 part l timber framed no solid leaf england and wales 2006 part l 0.35 england wales e and w ew wall walls</t>
  </si>
  <si>
    <t>UV-146</t>
  </si>
  <si>
    <t>Light steel framing</t>
  </si>
  <si>
    <t>Non-transpired solar panel, thickness 100mm</t>
  </si>
  <si>
    <t>wall light steel framing non transpired solar panel thickness 100mm not specified light steel framing non transpired solar panel thickness 100mm 0.25 wall walls</t>
  </si>
  <si>
    <t>UV-147</t>
  </si>
  <si>
    <t>Non-transpired solar panel, thickness 68mm</t>
  </si>
  <si>
    <t>wall light steel framing non transpired solar panel thickness 68mm not specified light steel framing non transpired solar panel thickness 68mm 0.35 wall walls</t>
  </si>
  <si>
    <t>UV-148</t>
  </si>
  <si>
    <t>Non-transpired solar panel, thickness 80mm</t>
  </si>
  <si>
    <t>wall light steel framing non transpired solar panel thickness 80mm not specified light steel framing non transpired solar panel thickness 80mm 0.3 wall walls</t>
  </si>
  <si>
    <t>UV-149</t>
  </si>
  <si>
    <t>Steel frame wall-50mm exp. polystyrene</t>
  </si>
  <si>
    <t>wall light steel framing steel frame wall 50mm exp. polystyrene not specified light steel framing steel frame wall 50mm exp. polystyrene 0.48 wall walls</t>
  </si>
  <si>
    <t>UV-150</t>
  </si>
  <si>
    <t>Steel frame wall-50mm polyurethane</t>
  </si>
  <si>
    <t>wall light steel framing steel frame wall 50mm polyurethane not specified light steel framing steel frame wall 50mm polyurethane 0.35 wall walls</t>
  </si>
  <si>
    <t>UV-151</t>
  </si>
  <si>
    <t>Steel frame wall-75mm exp. polystyrene</t>
  </si>
  <si>
    <t>wall light steel framing steel frame wall 75mm exp. polystyrene not specified light steel framing steel frame wall 75mm exp. polystyrene 0.38 wall walls</t>
  </si>
  <si>
    <t>UV-152</t>
  </si>
  <si>
    <t>Steel frame wall-75mm polyurethane</t>
  </si>
  <si>
    <t>wall light steel framing steel frame wall 75mm polyurethane not specified light steel framing steel frame wall 75mm polyurethane 0.27 wall walls</t>
  </si>
  <si>
    <t>UV-153</t>
  </si>
  <si>
    <t>Internal Wall</t>
  </si>
  <si>
    <t>Partition wall</t>
  </si>
  <si>
    <t>Lightweight party/partition wall</t>
  </si>
  <si>
    <t>internal wall partition wall lightweight party partition wall not specified partition wall lightweight party partition wall 0.48</t>
  </si>
  <si>
    <t>UV-154</t>
  </si>
  <si>
    <t>Internal wall – Stud partition – Insulated</t>
  </si>
  <si>
    <t>internal wall partition wall internal wall stud partition insulated not specified partition wall internal wall stud partition insulated 0.5</t>
  </si>
  <si>
    <t>UV-155</t>
  </si>
  <si>
    <t>Internal wall – Cavity – Insulated</t>
  </si>
  <si>
    <t>internal wall partition wall internal wall cavity insulated not specified partition wall internal wall cavity insulated 0.6</t>
  </si>
  <si>
    <t>UV-156</t>
  </si>
  <si>
    <t>Internal wall – solid- Insulated or dry lined</t>
  </si>
  <si>
    <t>internal wall partition wall internal wall solid insulated or dry lined not specified partition wall internal wall solid insulated or dry lined 0.9</t>
  </si>
  <si>
    <t>UV-157</t>
  </si>
  <si>
    <t>Internal wall – solid- Uninsulated (or unknown)</t>
  </si>
  <si>
    <t>internal wall partition wall internal wall solid uninsulated or unknown not specified partition wall internal wall solid uninsulated or unknown 1.4</t>
  </si>
  <si>
    <t>UV-158</t>
  </si>
  <si>
    <t>Internal wall – Cavity – Uninsulated (or unknown)</t>
  </si>
  <si>
    <t>internal wall partition wall internal wall cavity uninsulated or unknown not specified partition wall internal wall cavity uninsulated or unknown 1.5</t>
  </si>
  <si>
    <t>UV-159</t>
  </si>
  <si>
    <t>Internal wall – Stud partition – Uninsulated (or unknown)</t>
  </si>
  <si>
    <t>internal wall partition wall internal wall stud partition uninsulated or unknown not specified partition wall internal wall stud partition uninsulated or unknown 1.7</t>
  </si>
  <si>
    <t>UV-160</t>
  </si>
  <si>
    <t>Internal wall – Internal glazing as wall (not internal windo</t>
  </si>
  <si>
    <t>internal wall partition wall internal wall internal glazing as wall not internal windo not specified partition wall internal wall internal glazing as wall not internal windo 3.7</t>
  </si>
  <si>
    <t>UV-161</t>
  </si>
  <si>
    <t>Internal wall – light partitioning</t>
  </si>
  <si>
    <t>internal wall partition wall internal wall light partitioning not specified partition wall internal wall light partitioning 4.1</t>
  </si>
  <si>
    <t>UV-162</t>
  </si>
  <si>
    <t>Roof</t>
  </si>
  <si>
    <t>Flat roof</t>
  </si>
  <si>
    <t>concrete deck</t>
  </si>
  <si>
    <t>roof flat roof concrete deck england and wales 1980 85 part l flat roof flat roof e and w 1980 85 part l concrete deck 0.45 england wales e and w ew roof roofs</t>
  </si>
  <si>
    <t>UV-163</t>
  </si>
  <si>
    <t>light deck</t>
  </si>
  <si>
    <t>roof flat roof light deck england and wales 1980 85 part l flat roof flat roof e and w 1980 85 part l light deck 0.45 england wales e and w ew roof roofs</t>
  </si>
  <si>
    <t>UV-164</t>
  </si>
  <si>
    <t>roof flat roof concrete deck england and wales 1990 part l flat roof flat roof e and w 1990 part l concrete deck 0.45 england wales e and w ew roof roofs</t>
  </si>
  <si>
    <t>UV-165</t>
  </si>
  <si>
    <t>roof flat roof light deck england and wales 1990 part l flat roof flat roof e and w 1990 part l light deck 0.45 england wales e and w ew roof roofs</t>
  </si>
  <si>
    <t>UV-166</t>
  </si>
  <si>
    <t>concrete deck, non-resident</t>
  </si>
  <si>
    <t>roof flat roof concrete deck non resident england and wales 1995 part l flat roof flat roof e and w 1995 part l concrete deck non resident 0.45 england wales e and w ew roof roofs</t>
  </si>
  <si>
    <t>UV-167</t>
  </si>
  <si>
    <t>concrete deck, residential</t>
  </si>
  <si>
    <t>roof flat roof concrete deck residential england and wales 1995 part l flat roof flat roof e and w 1995 part l concrete deck residential 0.35 england wales e and w ew roof roofs</t>
  </si>
  <si>
    <t>UV-168</t>
  </si>
  <si>
    <t>non-residential, light deck</t>
  </si>
  <si>
    <t>roof flat roof non residential light deck england and wales 1995 part l flat roof flat roof e and w 1995 part l non residential light deck 0.45 england wales e and w ew roof roofs</t>
  </si>
  <si>
    <t>UV-169</t>
  </si>
  <si>
    <t>residential, light deck</t>
  </si>
  <si>
    <t>roof flat roof residential light deck england and wales 1995 part l flat roof flat roof e and w 1995 part l residential light deck 0.35 england wales e and w ew roof roofs</t>
  </si>
  <si>
    <t>UV-170</t>
  </si>
  <si>
    <t>roof flat roof concrete deck england and wales 2002 part l flat roof flat roof e and w 2002 part l concrete deck 0.25 england wales e and w ew roof roofs</t>
  </si>
  <si>
    <t>UV-171</t>
  </si>
  <si>
    <t>lightweight deck</t>
  </si>
  <si>
    <t>roof flat roof lightweight deck england and wales 2002 part l flat roof flat roof e and w 2002 part l lightweight deck 0.25 england wales e and w ew roof roofs</t>
  </si>
  <si>
    <t>UV-172</t>
  </si>
  <si>
    <t>roof flat roof concrete deck england and wales 2006 2010 part l flat roof flat roof e and w 2006 2010 part l concrete deck 0.25 england wales e and w ew roof roofs</t>
  </si>
  <si>
    <t>UV-173</t>
  </si>
  <si>
    <t>roof flat roof light deck england and wales 2006 2010 part l flat roof flat roof e and w 2006 2010 part l light deck 0.25 england wales e and w ew roof roofs</t>
  </si>
  <si>
    <t>UV-174</t>
  </si>
  <si>
    <t>lightweight)</t>
  </si>
  <si>
    <t>roof flat roof lightweight england and wales pre 1981 flat roof flat roof e and w pre 1981 lightweight 1.4 england wales e and w ew roof roofs</t>
  </si>
  <si>
    <t>UV-175</t>
  </si>
  <si>
    <t>roof flat roof concrete deck england and wales pre 1981 flat roof flat roof e and w pre 1981 concrete deck 2.8 england wales e and w ew roof roofs</t>
  </si>
  <si>
    <t>UV-176</t>
  </si>
  <si>
    <t>with asbestos</t>
  </si>
  <si>
    <t>roof flat roof with asbestos england and wales pre 1981 flat roof flat roof e and w pre 1981 with asbestos 2 england wales e and w ew roof roofs</t>
  </si>
  <si>
    <t>UV-177</t>
  </si>
  <si>
    <t>with pavement or patio above</t>
  </si>
  <si>
    <t>roof flat roof with pavement or patio above england and wales flat roof flat roof e and w with pavement or patio above 0.42 england wales e and w ew roof roofs</t>
  </si>
  <si>
    <t>UV-178</t>
  </si>
  <si>
    <t>roof flat roof flat roof northern ireland 2006 part f flat roof flat roof ni 2006 part f 0.25 northern ireland ni roof roofs</t>
  </si>
  <si>
    <t>UV-179</t>
  </si>
  <si>
    <t>roof flat roof flat roof scotland 1975 1981 flat roof flat roof sco 1975 1981 0.6 scotland sco roof roofs</t>
  </si>
  <si>
    <t>UV-180</t>
  </si>
  <si>
    <t>roof flat roof flat roof scotland 1982 1990 flat roof flat roof sco 1982 1990 0.45 scotland sco roof roofs</t>
  </si>
  <si>
    <t>UV-181</t>
  </si>
  <si>
    <t>roof flat roof flat roof scotland 1991 1996 flat roof flat roof sco 1991 1996 0.45 scotland sco roof roofs</t>
  </si>
  <si>
    <t>UV-182</t>
  </si>
  <si>
    <t>roof flat roof flat roof scotland 1997 2001 flat roof flat roof sco 1997 2001 0.45 scotland sco roof roofs</t>
  </si>
  <si>
    <t>UV-183</t>
  </si>
  <si>
    <t>roof flat roof flat roof scotland 2002 2006 flat roof flat roof sco 2002 2006 0.45 scotland sco roof roofs</t>
  </si>
  <si>
    <t>UV-184</t>
  </si>
  <si>
    <t>roof flat roof flat roof scotland 2007 section 6 flat roof flat roof sco 2007 section 6 0.16 scotland sco roof roofs</t>
  </si>
  <si>
    <t>UV-185</t>
  </si>
  <si>
    <t>roof flat roof flat roof scotland pre 1975 flat roof flat roof sco pre 1975 1.14 scotland sco roof roofs</t>
  </si>
  <si>
    <t>UV-186</t>
  </si>
  <si>
    <t>concrete deck, ext. insulated</t>
  </si>
  <si>
    <t>roof flat roof concrete deck ext. insulated not specified flat roof flat roof concrete deck ext. insulated 0.64 roof roofs</t>
  </si>
  <si>
    <t>UV-187</t>
  </si>
  <si>
    <t>concrete deck, uninsulated</t>
  </si>
  <si>
    <t>roof flat roof concrete deck uninsulated not specified flat roof flat roof concrete deck uninsulated 2.8 roof roofs</t>
  </si>
  <si>
    <t>UV-188</t>
  </si>
  <si>
    <t>insulated, metal deck</t>
  </si>
  <si>
    <t>roof flat roof insulated metal deck not specified flat roof flat roof insulated metal deck 0.64 roof roofs</t>
  </si>
  <si>
    <t>UV-189</t>
  </si>
  <si>
    <t>internal insulation</t>
  </si>
  <si>
    <t>roof flat roof internal insulation not specified flat roof flat roof internal insulation 0.53 roof roofs</t>
  </si>
  <si>
    <t>UV-190</t>
  </si>
  <si>
    <t>min. wool between 150mm joists</t>
  </si>
  <si>
    <t>roof flat roof min. wool between 150mm joists not specified flat roof flat roof min. wool between 150mm joists 0.3 roof roofs</t>
  </si>
  <si>
    <t>UV-191</t>
  </si>
  <si>
    <t>phenolic foam between 150mm joists</t>
  </si>
  <si>
    <t>roof flat roof phenolic foam between 150mm joists not specified flat roof flat roof phenolic foam between 150mm joists 0.22 roof roofs</t>
  </si>
  <si>
    <t>UV-192</t>
  </si>
  <si>
    <t>phenolic foam between 50-70mm joists</t>
  </si>
  <si>
    <t>roof flat roof phenolic foam between 50 70mm joists not specified flat roof flat roof phenolic foam between 50 70mm joists 0.42 roof roofs</t>
  </si>
  <si>
    <t>UV-193</t>
  </si>
  <si>
    <t>uninsulated, metal deck</t>
  </si>
  <si>
    <t>roof flat roof uninsulated metal deck not specified flat roof flat roof uninsulated metal deck 2.8 roof roofs</t>
  </si>
  <si>
    <t>UV-194</t>
  </si>
  <si>
    <t>Pitched roof, horizontal</t>
  </si>
  <si>
    <t>Pitched roof</t>
  </si>
  <si>
    <t>roof pitched roof horizontal pitched roof england and wales 1980 85 part l pitched roof horizontal pitched roof e and w 1980 85 part l 0.35 england wales e and w ew roof roofs</t>
  </si>
  <si>
    <t>UV-195</t>
  </si>
  <si>
    <t>roof pitched roof horizontal pitched roof england and wales 1990 part l pitched roof horizontal pitched roof e and w 1990 part l 0.25 england wales e and w ew roof roofs</t>
  </si>
  <si>
    <t>UV-196</t>
  </si>
  <si>
    <t>roof pitched roof horizontal pitched roof england and wales 1995 part l pitched roof horizontal pitched roof e and w 1995 part l 0.25 england wales e and w ew roof roofs</t>
  </si>
  <si>
    <t>UV-197</t>
  </si>
  <si>
    <t>roof pitched roof horizontal pitched roof england and wales 2002 part l pitched roof horizontal pitched roof e and w 2002 part l 0.16 england wales e and w ew roof roofs</t>
  </si>
  <si>
    <t>UV-198</t>
  </si>
  <si>
    <t>roof pitched roof horizontal pitched roof england and wales 2006 2010 part l pitched roof horizontal pitched roof e and w 2006 2010 part l 0.13 england wales e and w ew roof roofs</t>
  </si>
  <si>
    <t>UV-199</t>
  </si>
  <si>
    <t>roof pitched roof horizontal pitched roof northern ireland 2006 part f pitched roof horizontal pitched roof ni 2006 part f 0.16 northern ireland ni roof roofs</t>
  </si>
  <si>
    <t>UV-200</t>
  </si>
  <si>
    <t>roof pitched roof horizontal pitched roof scotland 1975 1981 pitched roof horizontal pitched roof sco 1975 1981 0.6 scotland sco roof roofs</t>
  </si>
  <si>
    <t>UV-201</t>
  </si>
  <si>
    <t>roof pitched roof horizontal pitched roof scotland 1982 1990 pitched roof horizontal pitched roof sco 1982 1990 0.45 scotland sco roof roofs</t>
  </si>
  <si>
    <t>UV-202</t>
  </si>
  <si>
    <t>roof pitched roof horizontal pitched roof scotland 1991 1996 pitched roof horizontal pitched roof sco 1991 1996 0.25 scotland sco roof roofs</t>
  </si>
  <si>
    <t>UV-203</t>
  </si>
  <si>
    <t>roof pitched roof horizontal pitched roof scotland 1997 2001 pitched roof horizontal pitched roof sco 1997 2001 0.25 scotland sco roof roofs</t>
  </si>
  <si>
    <t>UV-204</t>
  </si>
  <si>
    <t>roof pitched roof horizontal pitched roof scotland 2002 2006 pitched roof horizontal pitched roof sco 2002 2006 0.16 scotland sco roof roofs</t>
  </si>
  <si>
    <t>UV-205</t>
  </si>
  <si>
    <t>roof pitched roof horizontal pitched roof scotland 2007 section 6 pitched roof horizontal pitched roof sco 2007 section 6 0.13 scotland sco roof roofs</t>
  </si>
  <si>
    <t>UV-206</t>
  </si>
  <si>
    <t>roof pitched roof horizontal pitched roof scotland pre 1975 pitched roof horizontal pitched roof sco pre 1975 1.14 scotland sco roof roofs</t>
  </si>
  <si>
    <t>UV-207</t>
  </si>
  <si>
    <t>Pitched roof, 100 mm quilt</t>
  </si>
  <si>
    <t>roof pitched roof horizontal pitched roof 100 mm quilt not specified pitched roof horizontal pitched roof 100 mm quilt 0.42 roof roofs</t>
  </si>
  <si>
    <t>UV-208</t>
  </si>
  <si>
    <t>Pitched roof, 150 mm quilt</t>
  </si>
  <si>
    <t>roof pitched roof horizontal pitched roof 150 mm quilt not specified pitched roof horizontal pitched roof 150 mm quilt 0.29 roof roofs</t>
  </si>
  <si>
    <t>UV-209</t>
  </si>
  <si>
    <t>Pitched roof, 200 mm quilt</t>
  </si>
  <si>
    <t>roof pitched roof horizontal pitched roof 200 mm quilt not specified pitched roof horizontal pitched roof 200 mm quilt 0.25 roof roofs</t>
  </si>
  <si>
    <t>UV-210</t>
  </si>
  <si>
    <t>Pitched roof, 25 mm quilt</t>
  </si>
  <si>
    <t>roof pitched roof horizontal pitched roof 25 mm quilt not specified pitched roof horizontal pitched roof 25 mm quilt 1.1 roof roofs</t>
  </si>
  <si>
    <t>UV-211</t>
  </si>
  <si>
    <t>Pitched roof, 250 mm quilt</t>
  </si>
  <si>
    <t>roof pitched roof horizontal pitched roof 250 mm quilt not specified pitched roof horizontal pitched roof 250 mm quilt 0.16 roof roofs</t>
  </si>
  <si>
    <t>UV-212</t>
  </si>
  <si>
    <t>Pitched roof, 300 mm quilt</t>
  </si>
  <si>
    <t>roof pitched roof horizontal pitched roof 300 mm quilt not specified pitched roof horizontal pitched roof 300 mm quilt 0.14 roof roofs</t>
  </si>
  <si>
    <t>UV-213</t>
  </si>
  <si>
    <t>Pitched roof, 50 mm quilt</t>
  </si>
  <si>
    <t>roof pitched roof horizontal pitched roof 50 mm quilt not specified pitched roof horizontal pitched roof 50 mm quilt 0.72 roof roofs</t>
  </si>
  <si>
    <t>UV-214</t>
  </si>
  <si>
    <t>Pitched roof, 75 mm quilt</t>
  </si>
  <si>
    <t>roof pitched roof horizontal pitched roof 75 mm quilt not specified pitched roof horizontal pitched roof 75 mm quilt 0.53 roof roofs</t>
  </si>
  <si>
    <t>UV-215</t>
  </si>
  <si>
    <t>Pitched roof, asbestos (insulated)</t>
  </si>
  <si>
    <t>roof pitched roof horizontal pitched roof asbestos insulated not specified pitched roof horizontal pitched roof asbestos insulated 1.2 roof roofs</t>
  </si>
  <si>
    <t>UV-216</t>
  </si>
  <si>
    <t>Pitched roof, asbestos (uninsulated)</t>
  </si>
  <si>
    <t>roof pitched roof horizontal pitched roof asbestos uninsulated not specified pitched roof horizontal pitched roof asbestos uninsulated 2.7 roof roofs</t>
  </si>
  <si>
    <t>UV-217</t>
  </si>
  <si>
    <t>Pitched roof, insulation</t>
  </si>
  <si>
    <t>Pitched roof, ceiling at rafters-asbestos/cement sheet in</t>
  </si>
  <si>
    <t>roof pitched roof insulation pitched roof ceiling at rafters asbestos cement sheet in not specified pitched roof insulation pitched roof ceiling at rafters asbestos cement sheet in 0.55 roof roofs</t>
  </si>
  <si>
    <t>UV-218</t>
  </si>
  <si>
    <t>Pitched roof, ceiling at rafters-asbestos/cement sheet un</t>
  </si>
  <si>
    <t>roof pitched roof insulation pitched roof ceiling at rafters asbestos cement sheet un not specified pitched roof insulation pitched roof ceiling at rafters asbestos cement sheet un 2.4 roof roofs</t>
  </si>
  <si>
    <t>UV-219</t>
  </si>
  <si>
    <t>Pitched roof, insul at rafters</t>
  </si>
  <si>
    <t>1981-89</t>
  </si>
  <si>
    <t>roof pitched roof insulation pitched roof insul at rafters england and wales 1981 89 pitched roof insulation pitched roof insul at rafters e and w 1981 89 0.36 england wales e and w ew roof roofs</t>
  </si>
  <si>
    <t>UV-220</t>
  </si>
  <si>
    <t>roof pitched roof insulation pitched roof insul at rafters england and wales 1990 part l pitched roof insulation pitched roof insul at rafters e and w 1990 part l 0.36 england wales e and w ew roof roofs</t>
  </si>
  <si>
    <t>UV-221</t>
  </si>
  <si>
    <t>roof pitched roof insulation pitched roof insul at rafters england and wales 2006 2010 part l pitched roof insulation pitched roof insul at rafters e and w 2006 2010 part l 0.16 england wales e and w ew roof roofs</t>
  </si>
  <si>
    <t>UV-222</t>
  </si>
  <si>
    <t>roof pitched roof insulation pitched roof insul at rafters scotland 1975 1981 pitched roof insulation pitched roof insul at rafters sco 1975 1981 0.6 scotland sco roof roofs</t>
  </si>
  <si>
    <t>UV-223</t>
  </si>
  <si>
    <t>roof pitched roof insulation pitched roof insul at rafters scotland 1982 1990 pitched roof insulation pitched roof insul at rafters sco 1982 1990 0.45 scotland sco roof roofs</t>
  </si>
  <si>
    <t>UV-224</t>
  </si>
  <si>
    <t>roof pitched roof insulation pitched roof insul at rafters scotland 1991 1996 pitched roof insulation pitched roof insul at rafters sco 1991 1996 0.45 scotland sco roof roofs</t>
  </si>
  <si>
    <t>UV-225</t>
  </si>
  <si>
    <t>roof pitched roof insulation pitched roof insul at rafters scotland 1997 2001 pitched roof insulation pitched roof insul at rafters sco 1997 2001 0.45 scotland sco roof roofs</t>
  </si>
  <si>
    <t>UV-226</t>
  </si>
  <si>
    <t>roof pitched roof insulation pitched roof insul at rafters scotland 2002 2006 pitched roof insulation pitched roof insul at rafters sco 2002 2006 0.25 scotland sco roof roofs</t>
  </si>
  <si>
    <t>UV-227</t>
  </si>
  <si>
    <t>roof pitched roof insulation pitched roof insul at rafters scotland pre 1975 pitched roof insulation pitched roof insul at rafters sco pre 1975 0.25 scotland sco roof roofs</t>
  </si>
  <si>
    <t>UV-228</t>
  </si>
  <si>
    <t>Pitched roof, insul at rafters, insulated</t>
  </si>
  <si>
    <t>roof pitched roof insulation pitched roof insul at rafters insulated not specified pitched roof insulation pitched roof insul at rafters insulated 0.75 roof roofs</t>
  </si>
  <si>
    <t>UV-229</t>
  </si>
  <si>
    <t>Pitched roof, insul at rafters, uninsulated</t>
  </si>
  <si>
    <t>roof pitched roof insulation pitched roof insul at rafters uninsulated not specified pitched roof insulation pitched roof insul at rafters uninsulated 3.85 roof roofs</t>
  </si>
  <si>
    <t>UV-230</t>
  </si>
  <si>
    <t>Pitched roof, no insulation</t>
  </si>
  <si>
    <t>roof pitched roof horizontal pitched roof no insulation not specified pitched roof horizontal pitched roof no insulation 2.5 roof roofs</t>
  </si>
  <si>
    <t>UV-231</t>
  </si>
  <si>
    <t>Pitched roof, slate or tile, insulated</t>
  </si>
  <si>
    <t>roof pitched roof horizontal pitched roof slate or tile insulated not specified pitched roof horizontal pitched roof slate or tile insulated 1.1 roof roofs</t>
  </si>
  <si>
    <t>UV-232</t>
  </si>
  <si>
    <t>Plywood and felt roof</t>
  </si>
  <si>
    <t>roof pitched roof insulation plywood and felt roof not specified pitched roof insulation plywood and felt roof 3.8 roof roofs</t>
  </si>
  <si>
    <t>timber wooden</t>
  </si>
  <si>
    <t>UV-233</t>
  </si>
  <si>
    <t>Plywood and felt roof, flat ceiling uninsulated</t>
  </si>
  <si>
    <t>roof pitched roof horizontal plywood and felt roof flat ceiling uninsulated not specified pitched roof horizontal plywood and felt roof flat ceiling uninsulated 2 roof roofs</t>
  </si>
  <si>
    <t>UV-234</t>
  </si>
  <si>
    <t>Roof with integral insulation</t>
  </si>
  <si>
    <t>roof pitched roof insulation roof with integral insulation england and wales 2002 part l pitched roof insulation roof with integral insulation e and w 2002 part l 0.25 england wales e and w ew roof roofs</t>
  </si>
  <si>
    <t>UV-235</t>
  </si>
  <si>
    <t>Roof, insulation at rafters</t>
  </si>
  <si>
    <t>roof pitched roof insulation roof insulation at rafters england and wales 2002 part l pitched roof insulation roof insulation at rafters e and w 2002 part l 0.2 england wales e and w ew roof roofs</t>
  </si>
  <si>
    <t>UV-236</t>
  </si>
  <si>
    <t>Floor</t>
  </si>
  <si>
    <t>Solid Ground Floor</t>
  </si>
  <si>
    <t>Ground floor</t>
  </si>
  <si>
    <t>floor solid ground floor ground floor england and wales 1980 85 part l ground floor england and wales 1980 85 part l 0.58 england wales e and w ew floor floors</t>
  </si>
  <si>
    <t>UV-237</t>
  </si>
  <si>
    <t>floor solid ground floor ground floor england and wales 1990 part l ground floor england and wales 1990 part l 0.45 england wales e and w ew floor floors</t>
  </si>
  <si>
    <t>UV-238</t>
  </si>
  <si>
    <t>floor solid ground floor ground floor england and wales 1995 part l ground floor england and wales 1995 part l 0.45 england wales e and w ew floor floors</t>
  </si>
  <si>
    <t>UV-239</t>
  </si>
  <si>
    <t>floor solid ground floor ground floor england and wales 2002 part l ground floor england and wales 2002 part l 0.25 england wales e and w ew floor floors</t>
  </si>
  <si>
    <t>UV-240</t>
  </si>
  <si>
    <t>Solid ground floor</t>
  </si>
  <si>
    <t>floor solid ground floor solid ground floor england and wales 1990 part l solid ground floor england and wales 1990 part l 0.45 england wales e and w ew floor floors</t>
  </si>
  <si>
    <t>UV-241</t>
  </si>
  <si>
    <t>floor solid ground floor solid ground floor england and wales 1995 part l solid ground floor england and wales 1995 part l 0.45 england wales e and w ew floor floors</t>
  </si>
  <si>
    <t>UV-242</t>
  </si>
  <si>
    <t>floor solid ground floor solid ground floor england and wales 2002 part l solid ground floor england and wales 2002 part l 0.25 england wales e and w ew floor floors</t>
  </si>
  <si>
    <t>UV-243</t>
  </si>
  <si>
    <t>floor solid ground floor solid ground floor england and wales 2006 2010 part l solid ground floor england and wales 2006 2010 part l 0.25 england wales e and w ew floor floors</t>
  </si>
  <si>
    <t>UV-244</t>
  </si>
  <si>
    <t>1992-2001</t>
  </si>
  <si>
    <t>floor solid ground floor solid ground floor scotland 1992 2001 solid ground floor scotland 1992 2001 0.45 scotland sco floor floors</t>
  </si>
  <si>
    <t>UV-245</t>
  </si>
  <si>
    <t>floor solid ground floor solid ground floor scotland 2002 2006 solid ground floor scotland 2002 2006 0.25 scotland sco floor floors</t>
  </si>
  <si>
    <t>UV-246</t>
  </si>
  <si>
    <t>floor solid ground floor solid ground floor scotland 2007 section 6 solid ground floor scotland 2007 section 6 0.22 scotland sco floor floors</t>
  </si>
  <si>
    <t>UV-247</t>
  </si>
  <si>
    <t>floor solid ground floor solid ground floor not specified insulated solid ground floor not specified insulated 0.45 floor floors</t>
  </si>
  <si>
    <t>UV-248</t>
  </si>
  <si>
    <t>floor solid ground floor solid ground floor not specified uninsulated solid ground floor not specified uninsulated 0.58 floor floors</t>
  </si>
  <si>
    <t>UV-249</t>
  </si>
  <si>
    <t>Floor type unknown</t>
  </si>
  <si>
    <t>floor solid ground floor floor type unknown not specified uninsulated floor type unknown not specified uninsulated 0.58 floor floors</t>
  </si>
  <si>
    <t>UV-250</t>
  </si>
  <si>
    <t>Suspended Floor</t>
  </si>
  <si>
    <t>Exposed concrete floor</t>
  </si>
  <si>
    <t>Pre 1980</t>
  </si>
  <si>
    <t>floor suspended floor exposed concrete floor england and wales pre 1980 uninsulated exposed concrete floor england and wales pre 1980 uninsulated 2.26 england wales e and w ew floor floors</t>
  </si>
  <si>
    <t>UV-251</t>
  </si>
  <si>
    <t>floor suspended floor exposed concrete floor england and wales 1980 85 part l exposed concrete floor england and wales 1980 85 part l 1.6 england wales e and w ew floor floors</t>
  </si>
  <si>
    <t>UV-252</t>
  </si>
  <si>
    <t>floor suspended floor exposed concrete floor england and wales 1990 part l exposed concrete floor england and wales 1990 part l 0.45 england wales e and w ew floor floors</t>
  </si>
  <si>
    <t>UV-253</t>
  </si>
  <si>
    <t>floor suspended floor exposed concrete floor england and wales 1995 part l exposed concrete floor england and wales 1995 part l 0.45 england wales e and w ew floor floors</t>
  </si>
  <si>
    <t>UV-254</t>
  </si>
  <si>
    <t>floor suspended floor exposed concrete floor england and wales 2002 part l exposed concrete floor england and wales 2002 part l 0.25 england wales e and w ew floor floors</t>
  </si>
  <si>
    <t>UV-255</t>
  </si>
  <si>
    <t>floor suspended floor exposed concrete floor england and wales 2006 2010 part l exposed concrete floor england and wales 2006 2010 part l 0.25 england wales e and w ew floor floors</t>
  </si>
  <si>
    <t>UV-256</t>
  </si>
  <si>
    <t>Exposed timber floor</t>
  </si>
  <si>
    <t>floor suspended floor exposed timber floor england and wales pre 1980 uninsulated exposed timber floor england and wales pre 1980 uninsulated 1.97 england wales e and w ew floor floors</t>
  </si>
  <si>
    <t>UV-257</t>
  </si>
  <si>
    <t>floor suspended floor exposed timber floor england and wales 1980 85 part l exposed timber floor england and wales 1980 85 part l 1.6 england wales e and w ew floor floors</t>
  </si>
  <si>
    <t>UV-258</t>
  </si>
  <si>
    <t>floor suspended floor exposed timber floor england and wales 1990 part l exposed timber floor england and wales 1990 part l 0.45 england wales e and w ew floor floors</t>
  </si>
  <si>
    <t>UV-259</t>
  </si>
  <si>
    <t>floor suspended floor exposed timber floor england and wales 1995 part l exposed timber floor england and wales 1995 part l 0.45 england wales e and w ew floor floors</t>
  </si>
  <si>
    <t>UV-260</t>
  </si>
  <si>
    <t>floor suspended floor exposed timber floor england and wales 2002 part l exposed timber floor england and wales 2002 part l 0.25 england wales e and w ew floor floors</t>
  </si>
  <si>
    <t>UV-261</t>
  </si>
  <si>
    <t>floor suspended floor exposed timber floor england and wales 2006 2010 part l exposed timber floor england and wales 2006 2010 part l 0.25 england wales e and w ew floor floors</t>
  </si>
  <si>
    <t>UV-262</t>
  </si>
  <si>
    <t>Exposed floor</t>
  </si>
  <si>
    <t>floor suspended floor exposed floor england and wales 1995 part l exposed floor england and wales 1995 part l 0.45 england wales e and w ew floor floors</t>
  </si>
  <si>
    <t>UV-263</t>
  </si>
  <si>
    <t>floor suspended floor exposed floor england and wales 2002 part l exposed floor england and wales 2002 part l 0.25 england wales e and w ew floor floors</t>
  </si>
  <si>
    <t>UV-264</t>
  </si>
  <si>
    <t>floor suspended floor exposed floor england and wales 2006 2010 part l exposed floor england and wales 2006 2010 part l 0.25 england wales e and w ew floor floors</t>
  </si>
  <si>
    <t>UV-265</t>
  </si>
  <si>
    <t>floor suspended floor exposed floor scotland 1997 part j exposed floor scotland 1997 part j 0.45 scotland sco floor floors</t>
  </si>
  <si>
    <t>UV-266</t>
  </si>
  <si>
    <t>floor suspended floor exposed floor scotland 2002 section 6 exposed floor scotland 2002 section 6 0.25 scotland sco floor floors</t>
  </si>
  <si>
    <t>UV-267</t>
  </si>
  <si>
    <t>floor suspended floor exposed floor scotland 2007 section 6 exposed floor scotland 2007 section 6 0.22 scotland sco floor floors</t>
  </si>
  <si>
    <t>UV-268</t>
  </si>
  <si>
    <t>Semi-exposed floor</t>
  </si>
  <si>
    <t>floor suspended floor semi exposed floor scotland 1982 1990 semi exposed floor scotland 1982 1990 0.7 scotland sco floor floors</t>
  </si>
  <si>
    <t>UV-269</t>
  </si>
  <si>
    <t>floor suspended floor semi exposed floor scotland 1991 1996 semi exposed floor scotland 1991 1996 0.6 scotland sco floor floors</t>
  </si>
  <si>
    <t>UV-270</t>
  </si>
  <si>
    <t>floor suspended floor semi exposed floor scotland 1997 2001 semi exposed floor scotland 1997 2001 0.6 scotland sco floor floors</t>
  </si>
  <si>
    <t>UV-271</t>
  </si>
  <si>
    <t>Suspended concrete ground floor</t>
  </si>
  <si>
    <t>floor suspended floor suspended concrete ground floor england and wales pre 1980 uninsulated suspended concrete ground floor england and wales pre 1980 uninsulated 0.51 england wales e and w ew floor floors</t>
  </si>
  <si>
    <t>UV-272</t>
  </si>
  <si>
    <t>floor suspended floor suspended concrete ground floor england and wales 1980 85 part l suspended concrete ground floor england and wales 1980 85 part l 0.51 england wales e and w ew floor floors</t>
  </si>
  <si>
    <t>UV-273</t>
  </si>
  <si>
    <t>floor suspended floor suspended concrete ground floor england and wales 1990 part l suspended concrete ground floor england and wales 1990 part l 0.45 england wales e and w ew floor floors</t>
  </si>
  <si>
    <t>UV-274</t>
  </si>
  <si>
    <t>floor suspended floor suspended concrete ground floor england and wales 1995 part l suspended concrete ground floor england and wales 1995 part l 0.45 england wales e and w ew floor floors</t>
  </si>
  <si>
    <t>UV-275</t>
  </si>
  <si>
    <t>floor suspended floor suspended concrete ground floor england and wales 2002 part l suspended concrete ground floor england and wales 2002 part l 0.25 england wales e and w ew floor floors</t>
  </si>
  <si>
    <t>UV-276</t>
  </si>
  <si>
    <t>floor suspended floor suspended concrete ground floor england and wales 2006 2010 part l suspended concrete ground floor england and wales 2006 2010 part l 0.25 england wales e and w ew floor floors</t>
  </si>
  <si>
    <t>UV-277</t>
  </si>
  <si>
    <t>Suspended timber ground floor</t>
  </si>
  <si>
    <t>floor suspended floor suspended timber ground floor england and wales pre 1980 uninsulated suspended timber ground floor england and wales pre 1980 uninsulated 3.07 england wales e and w ew floor floors</t>
  </si>
  <si>
    <t>UV-278</t>
  </si>
  <si>
    <t>floor suspended floor suspended timber ground floor england and wales 1980 85 part l suspended timber ground floor england and wales 1980 85 part l 0.58 england wales e and w ew floor floors</t>
  </si>
  <si>
    <t>UV-279</t>
  </si>
  <si>
    <t>floor suspended floor suspended timber ground floor england and wales 1990 part l suspended timber ground floor england and wales 1990 part l 0.45 england wales e and w ew floor floors</t>
  </si>
  <si>
    <t>UV-280</t>
  </si>
  <si>
    <t>floor suspended floor suspended timber ground floor england and wales 1995 part l suspended timber ground floor england and wales 1995 part l 0.45 england wales e and w ew floor floors</t>
  </si>
  <si>
    <t>UV-281</t>
  </si>
  <si>
    <t>floor suspended floor suspended timber ground floor england and wales 2002 part l suspended timber ground floor england and wales 2002 part l 0.25 england wales e and w ew floor floors</t>
  </si>
  <si>
    <t>UV-282</t>
  </si>
  <si>
    <t>floor suspended floor suspended timber ground floor england and wales 2006 2010 part l suspended timber ground floor england and wales 2006 2010 part l 0.25 england wales e and w ew floor floors</t>
  </si>
  <si>
    <t>UV-283</t>
  </si>
  <si>
    <t>Suspended ground floor</t>
  </si>
  <si>
    <t>1985</t>
  </si>
  <si>
    <t>floor suspended floor suspended ground floor england and wales 1985 suspended ground floor england and wales 1985 0.58 england wales e and w ew floor floors</t>
  </si>
  <si>
    <t>UV-284</t>
  </si>
  <si>
    <t>floor suspended floor suspended ground floor england and wales 1990 part l suspended ground floor england and wales 1990 part l 0.45 england wales e and w ew floor floors</t>
  </si>
  <si>
    <t>UV-285</t>
  </si>
  <si>
    <t>floor suspended floor suspended ground floor england and wales 1995 part l suspended ground floor england and wales 1995 part l 0.45 england wales e and w ew floor floors</t>
  </si>
  <si>
    <t>UV-286</t>
  </si>
  <si>
    <t>floor suspended floor suspended ground floor england and wales 2002 part l suspended ground floor england and wales 2002 part l 0.25 england wales e and w ew floor floors</t>
  </si>
  <si>
    <t>UV-287</t>
  </si>
  <si>
    <t>floor suspended floor suspended ground floor england and wales 2006 2010 part l suspended ground floor england and wales 2006 2010 part l 0.25 england wales e and w ew floor floors</t>
  </si>
  <si>
    <t>UV-288</t>
  </si>
  <si>
    <t>floor suspended floor suspended ground floor northern ireland 2006 part f suspended ground floor northern ireland 2006 part f 0.22 northern ireland ni floor floors</t>
  </si>
  <si>
    <t>UV-289</t>
  </si>
  <si>
    <t>floor suspended floor suspended ground floor scotland 1975 1981 suspended ground floor scotland 1975 1981 0.58 scotland sco floor floors</t>
  </si>
  <si>
    <t>UV-290</t>
  </si>
  <si>
    <t>floor suspended floor suspended ground floor scotland 1982 1990 suspended ground floor scotland 1982 1990 0.58 scotland sco floor floors</t>
  </si>
  <si>
    <t>UV-291</t>
  </si>
  <si>
    <t>floor suspended floor suspended ground floor scotland 1991 1996 suspended ground floor scotland 1991 1996 0.45 scotland sco floor floors</t>
  </si>
  <si>
    <t>UV-292</t>
  </si>
  <si>
    <t>floor suspended floor suspended ground floor scotland 1997 2001 suspended ground floor scotland 1997 2001 0.45 scotland sco floor floors</t>
  </si>
  <si>
    <t>UV-293</t>
  </si>
  <si>
    <t>floor suspended floor suspended ground floor scotland 2002 2006 suspended ground floor scotland 2002 2006 0.25 scotland sco floor floors</t>
  </si>
  <si>
    <t>UV-294</t>
  </si>
  <si>
    <t>Pre-1997</t>
  </si>
  <si>
    <t>floor suspended floor suspended ground floor scotland pre 1997 suspended ground floor scotland pre 1997 0.58 scotland sco floor floors</t>
  </si>
  <si>
    <t>UV-295</t>
  </si>
  <si>
    <t>Internal Floor / Ceiling</t>
  </si>
  <si>
    <t>Intermediate floor (floor side, timber)</t>
  </si>
  <si>
    <t>floor internal floor ceiling intermediate floor floor side timber not specified intermediate floor floor side timber 1.4 floor floors</t>
  </si>
  <si>
    <t>UV-296</t>
  </si>
  <si>
    <t>Intermediate floor/ceiling (concrete)</t>
  </si>
  <si>
    <t>floor internal floor ceiling intermediate floor ceiling concrete not specified uninsulated intermediate floor ceiling concrete uninsulated 1 floor floors</t>
  </si>
  <si>
    <t>UV-297</t>
  </si>
  <si>
    <t>Intermediate floor/ceiling (timber)</t>
  </si>
  <si>
    <t>floor internal floor ceiling intermediate floor ceiling timber not specified insulated intermediate floor ceiling timber insulated 0.6 floor floors</t>
  </si>
  <si>
    <t>UV-298</t>
  </si>
  <si>
    <t>floor internal floor ceiling intermediate floor ceiling timber not specified uninsulated intermediate floor ceiling timber uninsulated 1.4 floor floors</t>
  </si>
  <si>
    <t>UV-299</t>
  </si>
  <si>
    <t>Internal concrete floor</t>
  </si>
  <si>
    <t>Conditioned space below</t>
  </si>
  <si>
    <t>floor internal floor ceiling internal concrete floor not specified conditioned space below internal concrete floor conditioned space below 1 floor floors</t>
  </si>
  <si>
    <t>UV-300</t>
  </si>
  <si>
    <t>Internal tiled ceiling</t>
  </si>
  <si>
    <t>Conditioned space above</t>
  </si>
  <si>
    <t>floor internal floor ceiling internal tiled ceiling not specified conditioned space above internal tiled ceiling conditioned space above 1.23 floor floors</t>
  </si>
  <si>
    <t>UV-301</t>
  </si>
  <si>
    <t>Light plaster ceiling below non-timber floor</t>
  </si>
  <si>
    <t>floor internal floor ceiling light plaster ceiling below non timber floor not specified light plaster ceiling below non timber floor 1.4 floor floors</t>
  </si>
  <si>
    <t>UV-302</t>
  </si>
  <si>
    <t>Suspended tiled ceiling below concrete floor</t>
  </si>
  <si>
    <t>floor internal floor ceiling suspended tiled ceiling below concrete floor not specified insulated suspended tiled ceiling below concrete floor insulated 0.6 floor floors</t>
  </si>
  <si>
    <t>UV-303</t>
  </si>
  <si>
    <t>floor internal floor ceiling suspended tiled ceiling below concrete floor not specified uninsulated suspended tiled ceiling below concrete floor uninsulated 1.4 floor floors</t>
  </si>
  <si>
    <t>UV-304</t>
  </si>
  <si>
    <t>Suspended tiled ceiling below timber floor</t>
  </si>
  <si>
    <t>floor internal floor ceiling suspended tiled ceiling below timber floor not specified insulated suspended tiled ceiling below timber floor insulated 0.6 floor floors</t>
  </si>
  <si>
    <t>UV-305</t>
  </si>
  <si>
    <t>floor internal floor ceiling suspended tiled ceiling below timber floor not specified uninsulated suspended tiled ceiling below timber floor uninsulated 1.4 floor floors</t>
  </si>
  <si>
    <t>UV-306</t>
  </si>
  <si>
    <t>Door</t>
  </si>
  <si>
    <t>Personnel door</t>
  </si>
  <si>
    <t>Insulated personnel door (no date)</t>
  </si>
  <si>
    <t>no date</t>
  </si>
  <si>
    <t>door personnel door insulated personnel door no date not specified no date personnel door insulated personnel door no date 0.81</t>
  </si>
  <si>
    <t>UV-307</t>
  </si>
  <si>
    <t>England &amp; Wales / Scotland</t>
  </si>
  <si>
    <t>2002/06</t>
  </si>
  <si>
    <t>Label repaired: source text was truncated to "&amp;" during extraction.</t>
  </si>
  <si>
    <t>door personnel door and england and wales scotland 2002 06 part l personnel door personnel door e and w and sco 2002 06 part l 2.2 england wales scotland e and w sco personnel door</t>
  </si>
  <si>
    <t>UV-308</t>
  </si>
  <si>
    <t>Pre-1995</t>
  </si>
  <si>
    <t>door personnel door personnel door not specified pre 1995 personnel door personnel door pre 1995 3</t>
  </si>
  <si>
    <t>UV-309</t>
  </si>
  <si>
    <t>Uninsulated personnel door (no date)</t>
  </si>
  <si>
    <t>door personnel door uninsulated personnel door no date not specified no date personnel door uninsulated personnel door no date 3</t>
  </si>
  <si>
    <t>UV-310</t>
  </si>
  <si>
    <t>Vehicle access door</t>
  </si>
  <si>
    <t>door vehicle access door vehicle access door england and wales 1995 part l vehicle access door vehicle access door e and w 1995 part l 1.5 england wales e and w ew</t>
  </si>
  <si>
    <t>UV-311</t>
  </si>
  <si>
    <t>door vehicle access door vehicle access door england and wales 2002 06 part l vehicle access door vehicle access door e and w 2002 06 part l 1.5 england wales e and w ew</t>
  </si>
  <si>
    <t>UV-312</t>
  </si>
  <si>
    <t>door vehicle access door vehicle access door england and wales pre 1995 vehicle access door vehicle access door e and w pre 1995 5.7 england wales e and w ew</t>
  </si>
  <si>
    <t>UV-313</t>
  </si>
  <si>
    <t>door vehicle access door vehicle access door northern ireland 2000 2005 vehicle access door vehicle access door ni 2000 2005 1.5 northern ireland ni</t>
  </si>
  <si>
    <t>UV-314</t>
  </si>
  <si>
    <t>door vehicle access door vehicle access door northern ireland 2006 part f vehicle access door vehicle access door ni 2006 part f 1.5 northern ireland ni</t>
  </si>
  <si>
    <t>UV-315</t>
  </si>
  <si>
    <t>Pre-2000</t>
  </si>
  <si>
    <t>door vehicle access door vehicle access door northern ireland pre 2000 vehicle access door vehicle access door ni pre 2000 5.7 northern ireland ni</t>
  </si>
  <si>
    <t>UV-316</t>
  </si>
  <si>
    <t>door vehicle access door vehicle access door scotland 1997 part j vehicle access door vehicle access door sco 1997 part j 1.5 scotland sco</t>
  </si>
  <si>
    <t>UV-317</t>
  </si>
  <si>
    <t>door vehicle access door vehicle access door scotland 2002 part j vehicle access door vehicle access door sco 2002 part j 1.5 scotland sco</t>
  </si>
  <si>
    <t>UV-318</t>
  </si>
  <si>
    <t>door vehicle access door vehicle access door scotland 2007 section 6 vehicle access door vehicle access door sco 2007 section 6 1.5 scotland sco</t>
  </si>
  <si>
    <t>UV-319</t>
  </si>
  <si>
    <t>door vehicle access door vehicle access door scotland pre 1997 vehicle access door vehicle access door sco pre 1997 5.7 scotland sco</t>
  </si>
  <si>
    <t>UV-320</t>
  </si>
  <si>
    <t>Vehicle access door – sandwich panel</t>
  </si>
  <si>
    <t>Label repaired: source text was truncated to "– sandwich panel".</t>
  </si>
  <si>
    <t>door vehicle access door sandwich panel not specified pre 1995 vehicle access door vehicle access door pre 1995 sandwich panel 2.9 vehicle access door – sandwich panel</t>
  </si>
  <si>
    <t>UV-321</t>
  </si>
  <si>
    <t>Vehicle access door, insulated</t>
  </si>
  <si>
    <t>Label repaired: source text was truncated to "insulated".</t>
  </si>
  <si>
    <t>door vehicle access door insulated not specified vehicle access door vehicle access door insulated 1.5 vehicle access door, insulated</t>
  </si>
  <si>
    <t>UV-322</t>
  </si>
  <si>
    <t>Vehicle access door, uninsulated</t>
  </si>
  <si>
    <t>Label repaired: source text was truncated to "uninsulated".</t>
  </si>
  <si>
    <t>door vehicle access door uninsulated not specified vehicle access door vehicle access door uninsulated 5.7 vehicle access door, uninsulated</t>
  </si>
  <si>
    <t>UV-323</t>
  </si>
  <si>
    <t>Curtain Wall</t>
  </si>
  <si>
    <t>Curtain wall</t>
  </si>
  <si>
    <t>curtain wall curtain wall curtain wall england and wales 1980 85 part l curtain wall curtain wall e and w 1980 85 part l 0.6 england wales e and w ew</t>
  </si>
  <si>
    <t>UV-324</t>
  </si>
  <si>
    <t>curtain wall curtain wall curtain wall england and wales 1990 part l curtain wall curtain wall e and w 1990 part l 0.45 england wales e and w ew</t>
  </si>
  <si>
    <t>UV-325</t>
  </si>
  <si>
    <t>curtain wall curtain wall curtain wall england and wales 1995 part l curtain wall curtain wall e and w 1995 part l 0.45 england wales e and w ew</t>
  </si>
  <si>
    <t>UV-326</t>
  </si>
  <si>
    <t>curtain wall curtain wall curtain wall england and wales 2002 part l curtain wall curtain wall e and w 2002 part l 0.35 england wales e and w ew</t>
  </si>
  <si>
    <t>UV-327</t>
  </si>
  <si>
    <t>curtain wall curtain wall curtain wall england and wales 2006 2010 part l curtain wall curtain wall e and w 2006 2010 part l 0.35 england wales e and w ew</t>
  </si>
  <si>
    <t>UV-328</t>
  </si>
  <si>
    <t>curtain wall curtain wall curtain wall scotland 1991 1996 curtain wall curtain wall sco 1991 1996 0.45 scotland sco</t>
  </si>
  <si>
    <t>UV-329</t>
  </si>
  <si>
    <t>curtain wall curtain wall curtain wall scotland 1997 2001 curtain wall curtain wall sco 1997 2001 0.45 scotland sco</t>
  </si>
  <si>
    <t>UV-330</t>
  </si>
  <si>
    <t>curtain wall curtain wall curtain wall scotland 2002 2006 curtain wall curtain wall sco 2002 2006 0.3 scotland sco</t>
  </si>
  <si>
    <t>UV-331</t>
  </si>
  <si>
    <t>curtain wall curtain wall curtain wall scotland 2007 section 6 curtain wall curtain wall sco 2007 section 6 1.2 scotland sco</t>
  </si>
  <si>
    <t>UV-332</t>
  </si>
  <si>
    <t>insulated no date</t>
  </si>
  <si>
    <t>curtain wall curtain wall insulated no date not specified no date curtain wall curtain wall insulated no date 1</t>
  </si>
  <si>
    <t>UV-333</t>
  </si>
  <si>
    <t>curtain wall curtain wall curtain wall not specified pre 1981 curtain wall curtain wall pre 1981 2.3</t>
  </si>
  <si>
    <t>UV-334</t>
  </si>
  <si>
    <t>Window / Glazing</t>
  </si>
  <si>
    <t>External glazing</t>
  </si>
  <si>
    <t>Hardwood</t>
  </si>
  <si>
    <t>Single</t>
  </si>
  <si>
    <t>Building Regulations</t>
  </si>
  <si>
    <t>window glazing external glazing hardwood single england and wales 1985 building regulations hardwood single 1985 building regulations e and w 5.08 england wales e and w ew single 1 pane one pane window windows glazing glass</t>
  </si>
  <si>
    <t>UV-335</t>
  </si>
  <si>
    <t>Value anomaly noted in source: extracted from iSBEM.</t>
  </si>
  <si>
    <t>window glazing external glazing hardwood single england and wales 1990 building regulations hardwood single 1990 building regulations e and w 5.08* england wales e and w ew single 1 pane one pane window windows glazing glass</t>
  </si>
  <si>
    <t>UV-336</t>
  </si>
  <si>
    <t>window glazing external glazing hardwood single england and wales 1995 building regulations hardwood single 1995 building regulations e and w 5.401 england wales e and w ew single 1 pane one pane window windows glazing glass</t>
  </si>
  <si>
    <t>UV-337</t>
  </si>
  <si>
    <t>window glazing external glazing hardwood single england and wales 2002 building regulations hardwood single 2002 building regulations e and w 5.401 england wales e and w ew single 1 pane one pane window windows glazing glass</t>
  </si>
  <si>
    <t>UV-338</t>
  </si>
  <si>
    <t>window glazing external glazing hardwood single england and wales 2006 building regulations hardwood single 2006 building regulations e and w 5.401 england wales e and w ew single 1 pane one pane window windows glazing glass</t>
  </si>
  <si>
    <t>UV-339</t>
  </si>
  <si>
    <t>2010</t>
  </si>
  <si>
    <t>window glazing external glazing hardwood single england and wales 2010 building regulations hardwood single 2010 building regulations e and w 5.401 england wales e and w ew single 1 pane one pane window windows glazing glass</t>
  </si>
  <si>
    <t>UV-340</t>
  </si>
  <si>
    <t>Double</t>
  </si>
  <si>
    <t>window glazing external glazing hardwood double england and wales 1985 building regulations hardwood double 1985 building regulations e and w 3.193 england wales e and w ew double 2 pane two pane window windows glazing glass</t>
  </si>
  <si>
    <t>UV-341</t>
  </si>
  <si>
    <t>window glazing external glazing hardwood double england and wales 1990 building regulations hardwood double 1990 building regulations e and w 3.193 england wales e and w ew double 2 pane two pane window windows glazing glass</t>
  </si>
  <si>
    <t>UV-342</t>
  </si>
  <si>
    <t>window glazing external glazing hardwood double england and wales 1995 building regulations hardwood double 1995 building regulations e and w 3.183 england wales e and w ew double 2 pane two pane window windows glazing glass</t>
  </si>
  <si>
    <t>UV-343</t>
  </si>
  <si>
    <t>window glazing external glazing hardwood double england and wales 2002 building regulations hardwood double 2002 building regulations e and w 3.183 england wales e and w ew double 2 pane two pane window windows glazing glass</t>
  </si>
  <si>
    <t>UV-344</t>
  </si>
  <si>
    <t>window glazing external glazing hardwood double england and wales 2006 building regulations hardwood double 2006 building regulations e and w 3.106 england wales e and w ew double 2 pane two pane window windows glazing glass</t>
  </si>
  <si>
    <t>UV-345</t>
  </si>
  <si>
    <t>window glazing external glazing hardwood double england and wales 2010 building regulations hardwood double 2010 building regulations e and w 3.106 england wales e and w ew double 2 pane two pane window windows glazing glass</t>
  </si>
  <si>
    <t>UV-346</t>
  </si>
  <si>
    <t>no date (uninsulated)</t>
  </si>
  <si>
    <t>window glazing external glazing hardwood double not specified no date uninsulated hardwood double no date uninsulated 3.193 double 2 pane two pane window windows glazing glass</t>
  </si>
  <si>
    <t>UV-347</t>
  </si>
  <si>
    <t>Triple</t>
  </si>
  <si>
    <t>window glazing external glazing hardwood triple england and wales 1985 building regulations hardwood triple 1985 building regulations e and w 2.47 england wales e and w ew triple 3 pane three pane window windows glazing glass</t>
  </si>
  <si>
    <t>UV-348</t>
  </si>
  <si>
    <t>window glazing external glazing hardwood triple england and wales 1990 building regulations hardwood triple 1990 building regulations e and w 2.47 england wales e and w ew triple 3 pane three pane window windows glazing glass</t>
  </si>
  <si>
    <t>UV-349</t>
  </si>
  <si>
    <t>window glazing external glazing hardwood triple england and wales 1995 building regulations hardwood triple 1995 building regulations e and w 2.521 england wales e and w ew triple 3 pane three pane window windows glazing glass</t>
  </si>
  <si>
    <t>UV-350</t>
  </si>
  <si>
    <t>window glazing external glazing hardwood triple england and wales 2002 building regulations hardwood triple 2002 building regulations e and w 2.521 england wales e and w ew triple 3 pane three pane window windows glazing glass</t>
  </si>
  <si>
    <t>UV-351</t>
  </si>
  <si>
    <t>window glazing external glazing hardwood triple england and wales 2006 building regulations hardwood triple 2006 building regulations e and w 2.521 england wales e and w ew triple 3 pane three pane window windows glazing glass</t>
  </si>
  <si>
    <t>UV-352</t>
  </si>
  <si>
    <t>window glazing external glazing hardwood triple england and wales 2010 building regulations hardwood triple 2010 building regulations e and w 2.521 england wales e and w ew triple 3 pane three pane window windows glazing glass</t>
  </si>
  <si>
    <t>UV-353</t>
  </si>
  <si>
    <t>window glazing external glazing hardwood triple not specified no date uninsulated hardwood triple no date uninsulated 2.47 triple 3 pane three pane window windows glazing glass</t>
  </si>
  <si>
    <t>UV-354</t>
  </si>
  <si>
    <t>Metal</t>
  </si>
  <si>
    <t>window glazing external glazing metal single england and wales 1985 building regulations metal single 1985 building regulations e and w 6.345 england wales e and w ew single 1 pane one pane window windows glazing glass</t>
  </si>
  <si>
    <t>UV-355</t>
  </si>
  <si>
    <t>window glazing external glazing metal single england and wales 1990 building regulations metal single 1990 building regulations e and w 6.345 england wales e and w ew single 1 pane one pane window windows glazing glass</t>
  </si>
  <si>
    <t>UV-356</t>
  </si>
  <si>
    <t>window glazing external glazing metal single england and wales 1995 building regulations metal single 1995 building regulations e and w 5.727 england wales e and w ew single 1 pane one pane window windows glazing glass</t>
  </si>
  <si>
    <t>UV-357</t>
  </si>
  <si>
    <t>window glazing external glazing metal single england and wales 2002 building regulations metal single 2002 building regulations e and w 5.727 england wales e and w ew single 1 pane one pane window windows glazing glass</t>
  </si>
  <si>
    <t>UV-358</t>
  </si>
  <si>
    <t>window glazing external glazing metal single england and wales 2006 building regulations metal single 2006 building regulations e and w 5.727 england wales e and w ew single 1 pane one pane window windows glazing glass</t>
  </si>
  <si>
    <t>UV-359</t>
  </si>
  <si>
    <t>window glazing external glazing metal single england and wales 2010 building regulations metal single 2010 building regulations e and w 5.727 england wales e and w ew single 1 pane one pane window windows glazing glass</t>
  </si>
  <si>
    <t>UV-360</t>
  </si>
  <si>
    <t>window glazing external glazing metal single not specified no date uninsulated metal single no date uninsulated 6.345 single 1 pane one pane window windows glazing glass</t>
  </si>
  <si>
    <t>UV-361</t>
  </si>
  <si>
    <t>window glazing external glazing metal double england and wales 1985 building regulations metal double 1985 building regulations e and w 4.458 england wales e and w ew double 2 pane two pane window windows glazing glass</t>
  </si>
  <si>
    <t>UV-362</t>
  </si>
  <si>
    <t>window glazing external glazing metal double england and wales 1990 building regulations metal double 1990 building regulations e and w 4.458 england wales e and w ew double 2 pane two pane window windows glazing glass</t>
  </si>
  <si>
    <t>UV-363</t>
  </si>
  <si>
    <t>window glazing external glazing metal double england and wales 1995 building regulations metal double 1995 building regulations e and w 3.51 england wales e and w ew double 2 pane two pane window windows glazing glass</t>
  </si>
  <si>
    <t>UV-364</t>
  </si>
  <si>
    <t>window glazing external glazing metal double england and wales 2002 building regulations metal double 2002 building regulations e and w 3.51 england wales e and w ew double 2 pane two pane window windows glazing glass</t>
  </si>
  <si>
    <t>UV-365</t>
  </si>
  <si>
    <t>window glazing external glazing metal double england and wales 2006 building regulations metal double 2006 building regulations e and w 3.433 england wales e and w ew double 2 pane two pane window windows glazing glass</t>
  </si>
  <si>
    <t>UV-366</t>
  </si>
  <si>
    <t>window glazing external glazing metal double england and wales 2010 building regulations metal double 2010 building regulations e and w 3.433 england wales e and w ew double 2 pane two pane window windows glazing glass</t>
  </si>
  <si>
    <t>UV-367</t>
  </si>
  <si>
    <t>window glazing external glazing metal double not specified no date uninsulated metal double no date uninsulated 4.458 double 2 pane two pane window windows glazing glass</t>
  </si>
  <si>
    <t>UV-368</t>
  </si>
  <si>
    <t>window glazing external glazing metal triple england and wales 1990 building regulations metal triple 1990 building regulations e and w 3.735 england wales e and w ew triple 3 pane three pane window windows glazing glass</t>
  </si>
  <si>
    <t>UV-369</t>
  </si>
  <si>
    <t>window glazing external glazing metal triple england and wales 1995 building regulations metal triple 1995 building regulations e and w 2.848 england wales e and w ew triple 3 pane three pane window windows glazing glass</t>
  </si>
  <si>
    <t>UV-370</t>
  </si>
  <si>
    <t>window glazing external glazing metal triple england and wales 2002 building regulations metal triple 2002 building regulations e and w 2.848 england wales e and w ew triple 3 pane three pane window windows glazing glass</t>
  </si>
  <si>
    <t>UV-371</t>
  </si>
  <si>
    <t>window glazing external glazing metal triple england and wales 2006 building regulations metal triple 2006 building regulations e and w 2.848 england wales e and w ew triple 3 pane three pane window windows glazing glass</t>
  </si>
  <si>
    <t>UV-372</t>
  </si>
  <si>
    <t>window glazing external glazing metal triple england and wales 2010 building regulations metal triple 2010 building regulations e and w 2.848 england wales e and w ew triple 3 pane three pane window windows glazing glass</t>
  </si>
  <si>
    <t>UV-373</t>
  </si>
  <si>
    <t>No frame</t>
  </si>
  <si>
    <t>window glazing external glazing no frame single england and wales 1985 building regulations no frame single 1985 building regulations e and w 4.551 england wales e and w ew single 1 pane one pane window windows glazing glass</t>
  </si>
  <si>
    <t>UV-374</t>
  </si>
  <si>
    <t>window glazing external glazing no frame single england and wales 1990 building regulations no frame single 1990 building regulations e and w 4.551 england wales e and w ew single 1 pane one pane window windows glazing glass</t>
  </si>
  <si>
    <t>UV-375</t>
  </si>
  <si>
    <t>window glazing external glazing no frame single england and wales 1995 building regulations no frame single 1995 building regulations e and w 4.497 england wales e and w ew single 1 pane one pane window windows glazing glass</t>
  </si>
  <si>
    <t>UV-376</t>
  </si>
  <si>
    <t>window glazing external glazing no frame single england and wales 2002 building regulations no frame single 2002 building regulations e and w 4.497 england wales e and w ew single 1 pane one pane window windows glazing glass</t>
  </si>
  <si>
    <t>UV-377</t>
  </si>
  <si>
    <t>window glazing external glazing no frame single england and wales 2006 building regulations no frame single 2006 building regulations e and w 4.497 england wales e and w ew single 1 pane one pane window windows glazing glass</t>
  </si>
  <si>
    <t>UV-378</t>
  </si>
  <si>
    <t>window glazing external glazing no frame single england and wales 2010 building regulations no frame single 2010 building regulations e and w 4.497 england wales e and w ew single 1 pane one pane window windows glazing glass</t>
  </si>
  <si>
    <t>UV-379</t>
  </si>
  <si>
    <t>PVC</t>
  </si>
  <si>
    <t>window glazing external glazing pvc single england and wales 1985 building regulations pvc single 1985 building regulations e and w 5.577 england wales e and w ew pvc upvc u pvc single 1 pane one pane window windows glazing glass</t>
  </si>
  <si>
    <t>UV-380</t>
  </si>
  <si>
    <t>window glazing external glazing pvc single england and wales 1990 building regulations pvc single 1990 building regulations e and w 5.577 england wales e and w ew pvc upvc u pvc single 1 pane one pane window windows glazing glass</t>
  </si>
  <si>
    <t>UV-381</t>
  </si>
  <si>
    <t>window glazing external glazing pvc single england and wales 1995 building regulations pvc single 1995 building regulations e and w 5.523 england wales e and w ew pvc upvc u pvc single 1 pane one pane window windows glazing glass</t>
  </si>
  <si>
    <t>UV-382</t>
  </si>
  <si>
    <t>window glazing external glazing pvc single england and wales 2002 building regulations pvc single 2002 building regulations e and w 5.523 england wales e and w ew pvc upvc u pvc single 1 pane one pane window windows glazing glass</t>
  </si>
  <si>
    <t>UV-383</t>
  </si>
  <si>
    <t>window glazing external glazing pvc single england and wales 2006 building regulations pvc single 2006 building regulations e and w 5.523 england wales e and w ew pvc upvc u pvc single 1 pane one pane window windows glazing glass</t>
  </si>
  <si>
    <t>UV-384</t>
  </si>
  <si>
    <t>window glazing external glazing pvc single england and wales 2010 building regulations pvc single 2010 building regulations e and w 5.523 england wales e and w ew pvc upvc u pvc single 1 pane one pane window windows glazing glass</t>
  </si>
  <si>
    <t>UV-385</t>
  </si>
  <si>
    <t>window glazing external glazing pvc single not specified no date uninsulated pvc single no date uninsulated 5.577 pvc upvc u pvc single 1 pane one pane window windows glazing glass</t>
  </si>
  <si>
    <t>UV-386</t>
  </si>
  <si>
    <t>window glazing external glazing pvc double england and wales 1985 building regulations pvc double 1985 building regulations e and w 3.69 england wales e and w ew pvc upvc u pvc double 2 pane two pane window windows glazing glass</t>
  </si>
  <si>
    <t>UV-387</t>
  </si>
  <si>
    <t>window glazing external glazing pvc double england and wales 1990 building regulations pvc double 1990 building regulations e and w 3.69 england wales e and w ew pvc upvc u pvc double 2 pane two pane window windows glazing glass</t>
  </si>
  <si>
    <t>UV-388</t>
  </si>
  <si>
    <t>window glazing external glazing pvc double england and wales 1995 building regulations pvc double 1995 building regulations e and w 3.305 england wales e and w ew pvc upvc u pvc double 2 pane two pane window windows glazing glass</t>
  </si>
  <si>
    <t>UV-389</t>
  </si>
  <si>
    <t>window glazing external glazing pvc double england and wales 2002 building regulations pvc double 2002 building regulations e and w 3.305 england wales e and w ew pvc upvc u pvc double 2 pane two pane window windows glazing glass</t>
  </si>
  <si>
    <t>UV-390</t>
  </si>
  <si>
    <t>window glazing external glazing pvc double england and wales 2006 building regulations pvc double 2006 building regulations e and w 3.228 england wales e and w ew pvc upvc u pvc double 2 pane two pane window windows glazing glass</t>
  </si>
  <si>
    <t>UV-391</t>
  </si>
  <si>
    <t>window glazing external glazing pvc double england and wales 2010 building regulations pvc double 2010 building regulations e and w 3.228 england wales e and w ew pvc upvc u pvc double 2 pane two pane window windows glazing glass</t>
  </si>
  <si>
    <t>UV-392</t>
  </si>
  <si>
    <t>window glazing external glazing pvc double not specified no date uninsulated pvc double no date uninsulated 3.69 pvc upvc u pvc double 2 pane two pane window windows glazing glass</t>
  </si>
  <si>
    <t>UV-393</t>
  </si>
  <si>
    <t>window glazing external glazing pvc triple england and wales 1985 building regulations pvc triple 1985 building regulations e and w 2.966 england wales e and w ew pvc upvc u pvc triple 3 pane three pane window windows glazing glass</t>
  </si>
  <si>
    <t>UV-394</t>
  </si>
  <si>
    <t>window glazing external glazing pvc triple england and wales 1990 building regulations pvc triple 1990 building regulations e and w 2.966 england wales e and w ew pvc upvc u pvc triple 3 pane three pane window windows glazing glass</t>
  </si>
  <si>
    <t>UV-395</t>
  </si>
  <si>
    <t>window glazing external glazing pvc triple england and wales 1995 building regulations pvc triple 1995 building regulations e and w 2.643 england wales e and w ew pvc upvc u pvc triple 3 pane three pane window windows glazing glass</t>
  </si>
  <si>
    <t>UV-396</t>
  </si>
  <si>
    <t>window glazing external glazing pvc triple england and wales 2002 building regulations pvc triple 2002 building regulations e and w 2.643 england wales e and w ew pvc upvc u pvc triple 3 pane three pane window windows glazing glass</t>
  </si>
  <si>
    <t>UV-397</t>
  </si>
  <si>
    <t>window glazing external glazing pvc triple england and wales 2006 building regulations pvc triple 2006 building regulations e and w 2.643 england wales e and w ew pvc upvc u pvc triple 3 pane three pane window windows glazing glass</t>
  </si>
  <si>
    <t>UV-398</t>
  </si>
  <si>
    <t>window glazing external glazing pvc triple england and wales 2010 building regulations pvc triple 2010 building regulations e and w 2.643 england wales e and w ew pvc upvc u pvc triple 3 pane three pane window windows glazing glass</t>
  </si>
  <si>
    <t>UV-399</t>
  </si>
  <si>
    <t>window glazing external glazing pvc triple not specified no date uninsulated pvc triple no date uninsulated 2.966 pvc upvc u pvc triple 3 pane three pane window windows glazing glass</t>
  </si>
  <si>
    <t>UV-400</t>
  </si>
  <si>
    <t>Softwood</t>
  </si>
  <si>
    <t>window glazing external glazing softwood single england and wales 1985 building regulations softwood single 1985 building regulations e and w 5.011 england wales e and w ew single 1 pane one pane window windows glazing glass</t>
  </si>
  <si>
    <t>UV-401</t>
  </si>
  <si>
    <t>window glazing external glazing softwood single england and wales 1990 building regulations softwood single 1990 building regulations e and w 5.011 england wales e and w ew single 1 pane one pane window windows glazing glass</t>
  </si>
  <si>
    <t>UV-402</t>
  </si>
  <si>
    <t>window glazing external glazing softwood single england and wales 1995 building regulations softwood single 1995 building regulations e and w 5.272 england wales e and w ew single 1 pane one pane window windows glazing glass</t>
  </si>
  <si>
    <t>UV-403</t>
  </si>
  <si>
    <t>window glazing external glazing softwood single england and wales 2002 building regulations softwood single 2002 building regulations e and w 5.272 england wales e and w ew single 1 pane one pane window windows glazing glass</t>
  </si>
  <si>
    <t>UV-404</t>
  </si>
  <si>
    <t>window glazing external glazing softwood single england and wales 2006 building regulations softwood single 2006 building regulations e and w 5.272 england wales e and w ew single 1 pane one pane window windows glazing glass</t>
  </si>
  <si>
    <t>UV-405</t>
  </si>
  <si>
    <t>window glazing external glazing softwood single england and wales 2010 building regulations softwood single 2010 building regulations e and w 5.272 england wales e and w ew single 1 pane one pane window windows glazing glass</t>
  </si>
  <si>
    <t>UV-406</t>
  </si>
  <si>
    <t>window glazing external glazing softwood double england and wales 1990 building regulations softwood double 1990 building regulations e and w 3.124 england wales e and w ew double 2 pane two pane window windows glazing glass</t>
  </si>
  <si>
    <t>UV-407</t>
  </si>
  <si>
    <t>window glazing external glazing softwood double england and wales 1995 building regulations softwood double 1995 building regulations e and w 3.054 england wales e and w ew double 2 pane two pane window windows glazing glass</t>
  </si>
  <si>
    <t>UV-408</t>
  </si>
  <si>
    <t>window glazing external glazing softwood double england and wales 2002 building regulations softwood double 2002 building regulations e and w 3.054 england wales e and w ew double 2 pane two pane window windows glazing glass</t>
  </si>
  <si>
    <t>UV-409</t>
  </si>
  <si>
    <t>window glazing external glazing softwood double england and wales 2006 building regulations softwood double 2006 building regulations e and w 2.977 england wales e and w ew double 2 pane two pane window windows glazing glass</t>
  </si>
  <si>
    <t>UV-410</t>
  </si>
  <si>
    <t>window glazing external glazing softwood double england and wales 2010 building regulations softwood double 2010 building regulations e and w 2.977 england wales e and w ew double 2 pane two pane window windows glazing glass</t>
  </si>
  <si>
    <t>UV-411</t>
  </si>
  <si>
    <t>window glazing external glazing softwood double not specified no date uninsulated softwood double no date uninsulated 3.124 double 2 pane two pane window windows glazing glass</t>
  </si>
  <si>
    <t>UV-412</t>
  </si>
  <si>
    <t>window glazing external glazing softwood triple england and wales 1985 building regulations softwood triple 1985 building regulations e and w 2.401 england wales e and w ew triple 3 pane three pane window windows glazing glass</t>
  </si>
  <si>
    <t>UV-413</t>
  </si>
  <si>
    <t>window glazing external glazing softwood triple england and wales 1990 building regulations softwood triple 1990 building regulations e and w 2.401 england wales e and w ew triple 3 pane three pane window windows glazing glass</t>
  </si>
  <si>
    <t>UV-414</t>
  </si>
  <si>
    <t>window glazing external glazing softwood triple england and wales 1995 building regulations softwood triple 1995 building regulations e and w 2.392 england wales e and w ew triple 3 pane three pane window windows glazing glass</t>
  </si>
  <si>
    <t>UV-415</t>
  </si>
  <si>
    <t>window glazing external glazing softwood triple england and wales 2002 building regulations softwood triple 2002 building regulations e and w 2.392 england wales e and w ew triple 3 pane three pane window windows glazing glass</t>
  </si>
  <si>
    <t>UV-416</t>
  </si>
  <si>
    <t>window glazing external glazing softwood triple england and wales 2006 building regulations softwood triple 2006 building regulations e and w 2.392 england wales e and w ew triple 3 pane three pane window windows glazing glass</t>
  </si>
  <si>
    <t>UV-417</t>
  </si>
  <si>
    <t>window glazing external glazing softwood triple england and wales 2010 building regulations softwood triple 2010 building regulations e and w 2.392 england wales e and w ew triple 3 pane three pane window windows glazing glass</t>
  </si>
  <si>
    <t>UV-418</t>
  </si>
  <si>
    <t>window glazing external glazing softwood triple not specified no date uninsulated softwood triple no date uninsulated 2.401 triple 3 pane three pane window windows glazing glass</t>
  </si>
  <si>
    <t>match B</t>
  </si>
  <si>
    <t>match C</t>
  </si>
  <si>
    <t>match D</t>
  </si>
  <si>
    <t>match E</t>
  </si>
  <si>
    <t>match F</t>
  </si>
  <si>
    <t>match G</t>
  </si>
  <si>
    <t>match keyword</t>
  </si>
  <si>
    <t>Type upstream</t>
  </si>
  <si>
    <t>Construct upstream</t>
  </si>
  <si>
    <t>Subtype upstream</t>
  </si>
  <si>
    <t>Region upstream</t>
  </si>
  <si>
    <t>Year upstream</t>
  </si>
  <si>
    <t>final match</t>
  </si>
  <si>
    <t>final rank</t>
  </si>
  <si>
    <t>About this tool</t>
  </si>
  <si>
    <t>WHAT A U-VALUE IS</t>
  </si>
  <si>
    <t>A U-value, or thermal transmittance, measures how easily heat passes through a building element. It is expressed in W/m²K. Lower is better insulated.</t>
  </si>
  <si>
    <t>WHEN TO USE THESE VALUES</t>
  </si>
  <si>
    <t>NCM default U-values are used in energy assessment tools including SBEM, DSM and EPC software when the exact construction or insulation detail is unknown or cannot be confirmed during a site survey.</t>
  </si>
  <si>
    <t>HOW THE DROPDOWNS WORK</t>
  </si>
  <si>
    <t>Work down the six boxes in order. Each one rebuilds itself from whatever is left after the boxes above it, so you can never pick a combination that has no answer. Anything you do not know can stay on Any.</t>
  </si>
  <si>
    <t>THE SUBTYPE BOX</t>
  </si>
  <si>
    <t>Subtype only exists for glazing, where it means Single, Double or Triple. For every other element it greys itself out and offers Any alone, because nothing else in the database has a subtype.</t>
  </si>
  <si>
    <t>IF A BOX TURNS AMBER</t>
  </si>
  <si>
    <t>An amber box means a choice you made earlier no longer exists under your current element — for example leaving Triple selected and then switching from windows to walls. Set the amber box back to Any and results return.</t>
  </si>
  <si>
    <t>THE OPTIONAL KEYWORD BOX</t>
  </si>
  <si>
    <t>Use it only when you want to narrow further than the dropdowns allow. Up to eight words are used, in any order, and punctuation is ignored. Wood, wooden and timber are treated as the same thing, so a search for wooden finds the hardwood and softwood frames and the timber-framed walls.</t>
  </si>
  <si>
    <t>ADDING YOUR OWN SEARCH WORDS</t>
  </si>
  <si>
    <t>The All Data tab has a cream-coloured column called Extra search terms. Anything you type there is picked up by the keyword box, so you can teach the tool your own vocabulary without touching any formulas.</t>
  </si>
  <si>
    <t>IF YOU NEED TO MAINTAIN THIS FILE</t>
  </si>
  <si>
    <t>Add new rows to the bottom of the All Data tab, then copy the last row of the hidden Engine sheet down to match. The Engine sheet builds every dropdown list and should not be edited by hand. The tool deliberately uses only formulas supported by Excel 2007 onward, so it also works in older Excel, Excel for Mac, LibreOffice and Google Sheets.</t>
  </si>
  <si>
    <t>SOURCE ARTICLE</t>
  </si>
  <si>
    <t>OFFICIAL NCM DATABASE</t>
  </si>
  <si>
    <t>WEBSITE</t>
  </si>
  <si>
    <t>buildingperformanceexplained.com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</si>
</sst>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9" x14ac:knownFonts="1">
    <font>
      <sz val="11"/>
      <color theme="1"/>
      <name val="Calibri"/>
      <family val="2"/>
      <charset val="1"/>
    </font>
    <font>
      <sz val="10"/>
      <name val="Arial"/>
      <family val="2"/>
    </font>
    <font>
      <sz val="10"/>
      <color rgb="FF6B7280"/>
      <name val="Arial"/>
      <family val="2"/>
    </font>
    <font>
      <b/>
      <sz val="8"/>
      <color rgb="FF6B7280"/>
      <name val="Arial"/>
      <family val="2"/>
    </font>
    <font>
      <sz val="11"/>
      <color rgb="FF1F2937"/>
      <name val="Arial"/>
      <family val="2"/>
    </font>
    <font>
      <i/>
      <sz val="9"/>
      <color rgb="FF6B7280"/>
      <name val="Arial"/>
      <family val="2"/>
    </font>
    <font>
      <b/>
      <sz val="11"/>
      <color rgb="FF1F2937"/>
      <name val="Arial"/>
      <family val="2"/>
    </font>
    <font>
      <b/>
      <sz val="10"/>
      <color rgb="FFFFFFFF"/>
      <name val="Arial"/>
      <family val="2"/>
    </font>
    <font>
      <sz val="9"/>
      <color rgb="FF6B7280"/>
      <name val="Arial"/>
      <family val="2"/>
    </font>
    <font>
      <sz val="10"/>
      <color rgb="FF1F2937"/>
      <name val="Arial"/>
      <family val="2"/>
    </font>
    <font>
      <b/>
      <sz val="10"/>
      <color rgb="FF1F2937"/>
      <name val="Arial"/>
      <family val="2"/>
    </font>
    <font>
      <b/>
      <sz val="9"/>
      <color rgb="FF6B7280"/>
      <name val="Arial"/>
      <family val="2"/>
    </font>
    <font>
      <u/>
      <sz val="10"/>
      <color rgb="FF2563EB"/>
      <name val="Arial"/>
      <family val="2"/>
    </font>
    <font>
      <u/>
      <sz val="11"/>
      <color theme="10"/>
      <name val="Calibri"/>
      <family val="2"/>
      <charset val="1"/>
    </font>
    <font>
      <sz val="11"/>
      <color theme="0"/>
      <name val="Calibri"/>
      <family val="2"/>
      <charset val="1"/>
    </font>
    <font>
      <b/>
      <sz val="18"/>
      <color theme="0"/>
      <name val="Arial"/>
      <family val="2"/>
    </font>
    <font>
      <sz val="10"/>
      <color theme="0"/>
      <name val="Arial"/>
      <family val="2"/>
    </font>
    <font>
      <b/>
      <sz val="16"/>
      <color theme="0"/>
      <name val="Arial"/>
      <family val="2"/>
    </font>
    <font>
      <i/>
      <u/>
      <sz val="11"/>
      <color theme="0"/>
      <name val="Calibri"/>
      <family val="2"/>
    </font>
  </fonts>
  <fills count="8">
    <fill>
      <patternFill patternType="none"/>
    </fill>
    <fill>
      <patternFill patternType="gray125"/>
    </fill>
    <fill>
      <patternFill patternType="solid">
        <fgColor rgb="FFF9FAFB"/>
        <bgColor rgb="FFF5F7FA"/>
      </patternFill>
    </fill>
    <fill>
      <patternFill patternType="solid">
        <fgColor rgb="FFEAF2FB"/>
        <bgColor rgb="FFF1F2F4"/>
      </patternFill>
    </fill>
    <fill>
      <patternFill patternType="solid">
        <fgColor rgb="FFF5F7FA"/>
        <bgColor rgb="FFF9FAFB"/>
      </patternFill>
    </fill>
    <fill>
      <patternFill patternType="solid">
        <fgColor rgb="FFFFFBEB"/>
        <bgColor rgb="FFF9FAFB"/>
      </patternFill>
    </fill>
    <fill>
      <patternFill patternType="solid">
        <fgColor theme="1" tint="0.14999847407452621"/>
        <bgColor indexed="64"/>
      </patternFill>
    </fill>
    <fill>
      <patternFill patternType="solid">
        <fgColor theme="1" tint="0.14999847407452621"/>
        <bgColor rgb="FF333300"/>
      </patternFill>
    </fill>
  </fills>
  <borders count="3">
    <border>
      <left/>
      <right/>
      <top/>
      <bottom/>
      <diagonal/>
    </border>
    <border>
      <left style="medium">
        <color rgb="FF2563EB"/>
      </left>
      <right style="medium">
        <color rgb="FF2563EB"/>
      </right>
      <top style="medium">
        <color rgb="FF2563EB"/>
      </top>
      <bottom style="medium">
        <color rgb="FF2563EB"/>
      </bottom>
      <diagonal/>
    </border>
    <border>
      <left/>
      <right/>
      <top/>
      <bottom style="thin">
        <color rgb="FFE5E7EB"/>
      </bottom>
      <diagonal/>
    </border>
  </borders>
  <cellStyleXfs count="2">
    <xf numFmtId="0" fontId="0" fillId="0" borderId="0"/>
    <xf numFmtId="0" fontId="13" fillId="0" borderId="0" applyNumberFormat="0" applyFill="0" applyBorder="0" applyAlignment="0" applyProtection="0"/>
  </cellStyleXfs>
  <cellXfs count="26">
    <xf numFmtId="0" fontId="0" fillId="0" borderId="0" xfId="0"/>
    <xf numFmtId="0" fontId="4" fillId="3" borderId="1" xfId="0" applyFont="1" applyFill="1" applyBorder="1" applyAlignment="1">
      <alignment vertical="center" indent="1"/>
    </xf>
    <xf numFmtId="0" fontId="0" fillId="2" borderId="0" xfId="0" applyFill="1"/>
    <xf numFmtId="0" fontId="3" fillId="2" borderId="0" xfId="0" applyFont="1" applyFill="1"/>
    <xf numFmtId="0" fontId="5" fillId="2" borderId="0" xfId="0" applyFont="1" applyFill="1"/>
    <xf numFmtId="0" fontId="6" fillId="0" borderId="0" xfId="0" applyFont="1"/>
    <xf numFmtId="0" fontId="8" fillId="0" borderId="2" xfId="0" applyFont="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vertical="center" wrapText="1"/>
    </xf>
    <xf numFmtId="164" fontId="10" fillId="4" borderId="2" xfId="0" applyNumberFormat="1" applyFont="1" applyFill="1" applyBorder="1" applyAlignment="1">
      <alignment horizontal="center" vertical="center"/>
    </xf>
    <xf numFmtId="0" fontId="8" fillId="0" borderId="0" xfId="0" applyFont="1"/>
    <xf numFmtId="0" fontId="9" fillId="0" borderId="2" xfId="0" applyFont="1" applyBorder="1" applyAlignment="1">
      <alignment horizontal="left" vertical="center"/>
    </xf>
    <xf numFmtId="164" fontId="10" fillId="0" borderId="2" xfId="0" applyNumberFormat="1" applyFont="1" applyBorder="1" applyAlignment="1">
      <alignment horizontal="center" vertical="center"/>
    </xf>
    <xf numFmtId="0" fontId="9" fillId="5" borderId="2" xfId="0" applyFont="1" applyFill="1" applyBorder="1" applyAlignment="1">
      <alignment horizontal="left" vertical="center"/>
    </xf>
    <xf numFmtId="0" fontId="11" fillId="0" borderId="0" xfId="0" applyFont="1"/>
    <xf numFmtId="0" fontId="10" fillId="0" borderId="0" xfId="0" applyFont="1"/>
    <xf numFmtId="0" fontId="2" fillId="0" borderId="0" xfId="0" applyFont="1" applyAlignment="1">
      <alignment vertical="top" wrapText="1"/>
    </xf>
    <xf numFmtId="0" fontId="12" fillId="0" borderId="0" xfId="0" applyFont="1"/>
    <xf numFmtId="0" fontId="14" fillId="6" borderId="0" xfId="0" applyFont="1" applyFill="1"/>
    <xf numFmtId="0" fontId="15" fillId="6" borderId="0" xfId="0" applyFont="1" applyFill="1"/>
    <xf numFmtId="0" fontId="16" fillId="6" borderId="0" xfId="0" applyFont="1" applyFill="1"/>
    <xf numFmtId="0" fontId="7" fillId="7" borderId="0" xfId="0" applyFont="1" applyFill="1" applyAlignment="1">
      <alignment horizontal="center" vertical="center" wrapText="1"/>
    </xf>
    <xf numFmtId="0" fontId="7" fillId="7" borderId="0" xfId="0" applyFont="1" applyFill="1" applyAlignment="1">
      <alignment horizontal="left" vertical="center" wrapText="1"/>
    </xf>
    <xf numFmtId="0" fontId="7" fillId="7" borderId="0" xfId="0" applyFont="1" applyFill="1" applyAlignment="1">
      <alignment vertical="center" wrapText="1"/>
    </xf>
    <xf numFmtId="0" fontId="17" fillId="6" borderId="0" xfId="0" applyFont="1" applyFill="1"/>
    <xf numFmtId="0" fontId="18" fillId="6" borderId="0" xfId="1" applyFont="1" applyFill="1"/>
  </cellXfs>
  <cellStyles count="2">
    <cellStyle name="Hyperlink" xfId="1" builtinId="8"/>
    <cellStyle name="Normal" xfId="0" builtinId="0"/>
  </cellStyles>
  <dxfs count="7">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
      <font>
        <sz val="11"/>
        <color rgb="FFB0B4BB"/>
        <name val="Arial"/>
        <charset val="1"/>
      </font>
      <fill>
        <patternFill>
          <bgColor rgb="FFF1F2F4"/>
        </patternFill>
      </fill>
    </dxf>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
      <font>
        <b/>
        <sz val="11"/>
        <color rgb="FF92400E"/>
        <name val="Arial"/>
        <charset val="1"/>
      </font>
      <fill>
        <patternFill>
          <bgColor rgb="FFFEF3C7"/>
        </patternFill>
      </fill>
      <border diagonalUp="0" diagonalDown="0">
        <left style="medium">
          <color rgb="FFD97706"/>
        </left>
        <right style="medium">
          <color rgb="FFD97706"/>
        </right>
        <top style="medium">
          <color rgb="FFD97706"/>
        </top>
        <bottom style="medium">
          <color rgb="FFD97706"/>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4BB"/>
      <rgbColor rgb="FF808080"/>
      <rgbColor rgb="FF9999FF"/>
      <rgbColor rgb="FF993366"/>
      <rgbColor rgb="FFFEF3C7"/>
      <rgbColor rgb="FFEAF2FB"/>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F1F2F4"/>
      <rgbColor rgb="FFE5E7EB"/>
      <rgbColor rgb="FFFFFBEB"/>
      <rgbColor rgb="FFF9FAFB"/>
      <rgbColor rgb="FFFF99CC"/>
      <rgbColor rgb="FFCC99FF"/>
      <rgbColor rgb="FFF5F7FA"/>
      <rgbColor rgb="FF2563EB"/>
      <rgbColor rgb="FF33CCCC"/>
      <rgbColor rgb="FF99CC00"/>
      <rgbColor rgb="FFFFCC00"/>
      <rgbColor rgb="FFFF9900"/>
      <rgbColor rgb="FFD97706"/>
      <rgbColor rgb="FF6B7280"/>
      <rgbColor rgb="FF9CA3AF"/>
      <rgbColor rgb="FF003366"/>
      <rgbColor rgb="FF339966"/>
      <rgbColor rgb="FF003300"/>
      <rgbColor rgb="FF333300"/>
      <rgbColor rgb="FF92400E"/>
      <rgbColor rgb="FF993366"/>
      <rgbColor rgb="FF333399"/>
      <rgbColor rgb="FF1F293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buildingperformanceexplained.com"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2937"/>
    <pageSetUpPr fitToPage="1"/>
  </sheetPr>
  <dimension ref="A1:K118"/>
  <sheetViews>
    <sheetView showGridLines="0" tabSelected="1" zoomScaleNormal="100" workbookViewId="0">
      <pane ySplit="16" topLeftCell="A17" activePane="bottomLeft" state="frozen"/>
      <selection pane="bottomLeft" activeCell="D7" sqref="D7:E7"/>
    </sheetView>
  </sheetViews>
  <sheetFormatPr defaultColWidth="0" defaultRowHeight="14.4" x14ac:dyDescent="0.3"/>
  <cols>
    <col min="1" max="1" width="5" customWidth="1"/>
    <col min="2" max="2" width="16" customWidth="1"/>
    <col min="3" max="3" width="24" customWidth="1"/>
    <col min="4" max="4" width="36" customWidth="1"/>
    <col min="5" max="5" width="10" customWidth="1"/>
    <col min="6" max="6" width="20" customWidth="1"/>
    <col min="7" max="7" width="22" customWidth="1"/>
    <col min="8" max="8" width="18" customWidth="1"/>
    <col min="9" max="9" width="15" customWidth="1"/>
    <col min="10" max="11" width="13" hidden="1" customWidth="1"/>
    <col min="12" max="16384" width="8.6640625" hidden="1"/>
  </cols>
  <sheetData>
    <row r="1" spans="1:11" ht="7.5" customHeight="1" x14ac:dyDescent="0.3">
      <c r="A1" s="18"/>
      <c r="B1" s="18"/>
      <c r="C1" s="18"/>
      <c r="D1" s="18"/>
      <c r="E1" s="18"/>
      <c r="F1" s="18"/>
      <c r="G1" s="18"/>
      <c r="H1" s="18"/>
      <c r="I1" s="18"/>
      <c r="K1">
        <f ca="1">Engine!$BB$1</f>
        <v>0</v>
      </c>
    </row>
    <row r="2" spans="1:11" ht="21" x14ac:dyDescent="0.4">
      <c r="A2" s="24" t="s">
        <v>0</v>
      </c>
      <c r="B2" s="18"/>
      <c r="C2" s="18"/>
      <c r="D2" s="18"/>
      <c r="E2" s="18"/>
      <c r="F2" s="18"/>
      <c r="G2" s="18"/>
      <c r="H2" s="25" t="s">
        <v>1128</v>
      </c>
      <c r="I2" s="18"/>
      <c r="K2">
        <f>Engine!$BB$2</f>
        <v>0</v>
      </c>
    </row>
    <row r="3" spans="1:11" x14ac:dyDescent="0.3">
      <c r="A3" s="20" t="s">
        <v>1</v>
      </c>
      <c r="B3" s="18"/>
      <c r="C3" s="18"/>
      <c r="D3" s="18"/>
      <c r="E3" s="18"/>
      <c r="F3" s="18"/>
      <c r="G3" s="18"/>
      <c r="H3" s="18"/>
      <c r="I3" s="18"/>
      <c r="K3">
        <f>Engine!$BB$3</f>
        <v>0</v>
      </c>
    </row>
    <row r="4" spans="1:11" ht="7.5" customHeight="1" x14ac:dyDescent="0.3">
      <c r="A4" s="18"/>
      <c r="B4" s="18"/>
      <c r="C4" s="18"/>
      <c r="D4" s="18"/>
      <c r="E4" s="18"/>
      <c r="F4" s="18"/>
      <c r="G4" s="18"/>
      <c r="H4" s="18"/>
      <c r="I4" s="18"/>
      <c r="K4">
        <f>Engine!$BB$4</f>
        <v>0</v>
      </c>
    </row>
    <row r="5" spans="1:11" ht="6" customHeight="1" x14ac:dyDescent="0.3">
      <c r="A5" s="2"/>
      <c r="B5" s="2"/>
      <c r="C5" s="2"/>
      <c r="D5" s="2"/>
      <c r="E5" s="2"/>
      <c r="F5" s="2"/>
      <c r="G5" s="2"/>
      <c r="H5" s="2"/>
      <c r="I5" s="2"/>
      <c r="K5">
        <f>Engine!$BB$5</f>
        <v>0</v>
      </c>
    </row>
    <row r="6" spans="1:11" x14ac:dyDescent="0.3">
      <c r="A6" s="2"/>
      <c r="B6" s="3" t="s">
        <v>2</v>
      </c>
      <c r="C6" s="2"/>
      <c r="D6" s="3" t="s">
        <v>3</v>
      </c>
      <c r="E6" s="2"/>
      <c r="F6" s="3" t="s">
        <v>4</v>
      </c>
      <c r="G6" s="2"/>
      <c r="H6" s="2"/>
      <c r="I6" s="2"/>
      <c r="K6">
        <f ca="1">Engine!$BB$6</f>
        <v>0</v>
      </c>
    </row>
    <row r="7" spans="1:11" ht="24" customHeight="1" x14ac:dyDescent="0.3">
      <c r="A7" s="2"/>
      <c r="B7" s="1" t="s">
        <v>28</v>
      </c>
      <c r="C7" s="1"/>
      <c r="D7" s="1" t="s">
        <v>5</v>
      </c>
      <c r="E7" s="1"/>
      <c r="F7" s="1" t="s">
        <v>5</v>
      </c>
      <c r="G7" s="1"/>
      <c r="H7" s="2"/>
      <c r="I7" s="2"/>
      <c r="K7">
        <f>Engine!$AD$1</f>
        <v>0</v>
      </c>
    </row>
    <row r="8" spans="1:11" ht="6" customHeight="1" x14ac:dyDescent="0.3">
      <c r="A8" s="2"/>
      <c r="B8" s="2"/>
      <c r="C8" s="2"/>
      <c r="D8" s="2"/>
      <c r="E8" s="2"/>
      <c r="F8" s="2"/>
      <c r="G8" s="2"/>
      <c r="H8" s="2"/>
      <c r="I8" s="2"/>
      <c r="K8">
        <f ca="1">Engine!$BB$7</f>
        <v>0</v>
      </c>
    </row>
    <row r="9" spans="1:11" x14ac:dyDescent="0.3">
      <c r="A9" s="2"/>
      <c r="B9" s="3" t="s">
        <v>6</v>
      </c>
      <c r="C9" s="2"/>
      <c r="D9" s="3" t="s">
        <v>7</v>
      </c>
      <c r="E9" s="2"/>
      <c r="F9" s="3" t="s">
        <v>8</v>
      </c>
      <c r="G9" s="2"/>
      <c r="H9" s="2"/>
      <c r="I9" s="2"/>
    </row>
    <row r="10" spans="1:11" ht="24" customHeight="1" x14ac:dyDescent="0.3">
      <c r="A10" s="2"/>
      <c r="B10" s="1" t="s">
        <v>5</v>
      </c>
      <c r="C10" s="1"/>
      <c r="D10" s="1" t="s">
        <v>5</v>
      </c>
      <c r="E10" s="1"/>
      <c r="F10" s="1" t="s">
        <v>112</v>
      </c>
      <c r="G10" s="1"/>
      <c r="H10" s="2"/>
      <c r="I10" s="2"/>
    </row>
    <row r="11" spans="1:11" ht="6" customHeight="1" x14ac:dyDescent="0.3">
      <c r="A11" s="2"/>
      <c r="B11" s="2"/>
      <c r="C11" s="2"/>
      <c r="D11" s="2"/>
      <c r="E11" s="2"/>
      <c r="F11" s="2"/>
      <c r="G11" s="2"/>
      <c r="H11" s="2"/>
      <c r="I11" s="2"/>
    </row>
    <row r="12" spans="1:11" x14ac:dyDescent="0.3">
      <c r="A12" s="2"/>
      <c r="B12" s="3" t="s">
        <v>9</v>
      </c>
      <c r="C12" s="2"/>
      <c r="D12" s="2"/>
      <c r="E12" s="2"/>
      <c r="F12" s="2"/>
      <c r="G12" s="2"/>
      <c r="H12" s="2"/>
      <c r="I12" s="2"/>
    </row>
    <row r="13" spans="1:11" ht="21.75" customHeight="1" x14ac:dyDescent="0.3">
      <c r="A13" s="2"/>
      <c r="B13" s="1"/>
      <c r="C13" s="1"/>
      <c r="D13" s="4" t="s">
        <v>10</v>
      </c>
      <c r="E13" s="2"/>
      <c r="F13" s="2"/>
      <c r="G13" s="2"/>
      <c r="H13" s="2"/>
      <c r="I13" s="2"/>
    </row>
    <row r="14" spans="1:11" ht="6" customHeight="1" x14ac:dyDescent="0.3">
      <c r="A14" s="2"/>
      <c r="B14" s="2"/>
      <c r="C14" s="2"/>
      <c r="D14" s="2"/>
      <c r="E14" s="2"/>
      <c r="F14" s="2"/>
      <c r="G14" s="2"/>
      <c r="H14" s="2"/>
      <c r="I14" s="2"/>
    </row>
    <row r="15" spans="1:11" x14ac:dyDescent="0.3">
      <c r="A15" s="5" t="str">
        <f ca="1">IF($K$8&gt;0,"Some choices no longer apply — reset the amber boxes to Any.",IF(SUM(Engine!$W$2:$W$419)=0,"No matches. Set one of the dropdowns back to Any.",IF(SUM(Engine!$W$2:$W$419)&gt;100,TEXT(SUM(Engine!$W$2:$W$419),"0")&amp;" matches — showing the first 100. Use another dropdown to narrow it down.",TEXT(SUM(Engine!$W$2:$W$419),"0")&amp;IF(SUM(Engine!$W$2:$W$419)=1," match found."," matches found."))))&amp;IF(Engine!$BA$16="",""," (Only the first 8 keyword words were used.)")</f>
        <v>5 matches found.</v>
      </c>
    </row>
    <row r="16" spans="1:11" ht="30" customHeight="1" x14ac:dyDescent="0.3">
      <c r="A16" s="21" t="s">
        <v>11</v>
      </c>
      <c r="B16" s="22" t="s">
        <v>12</v>
      </c>
      <c r="C16" s="22" t="s">
        <v>13</v>
      </c>
      <c r="D16" s="22" t="s">
        <v>14</v>
      </c>
      <c r="E16" s="22" t="s">
        <v>15</v>
      </c>
      <c r="F16" s="22" t="s">
        <v>16</v>
      </c>
      <c r="G16" s="22" t="s">
        <v>17</v>
      </c>
      <c r="H16" s="22" t="s">
        <v>18</v>
      </c>
      <c r="I16" s="21" t="s">
        <v>19</v>
      </c>
    </row>
    <row r="17" spans="1:9" x14ac:dyDescent="0.3">
      <c r="A17" s="6">
        <f>IF($B17="","",1)</f>
        <v>1</v>
      </c>
      <c r="B17" s="7" t="str">
        <f>IFERROR(INDEX('All Data'!$B$2:$B$419,MATCH(1,Engine!$X$2:$X$419,0))&amp;"","")</f>
        <v>Wall</v>
      </c>
      <c r="C17" s="7" t="str">
        <f>IFERROR(INDEX('All Data'!$C$2:$C$419,MATCH(1,Engine!$X$2:$X$419,0))&amp;"","")</f>
        <v>Solid (Masonry) Wall</v>
      </c>
      <c r="D17" s="8" t="str">
        <f>IFERROR(INDEX('All Data'!$D$2:$D$419,MATCH(1,Engine!$X$2:$X$419,0))&amp;"","")</f>
        <v>Solid wall</v>
      </c>
      <c r="E17" s="7" t="str">
        <f>IFERROR(INDEX('All Data'!$E$2:$E$419,MATCH(1,Engine!$X$2:$X$419,0))&amp;"","")</f>
        <v/>
      </c>
      <c r="F17" s="7" t="str">
        <f>IFERROR(INDEX('All Data'!$F$2:$F$419,MATCH(1,Engine!$X$2:$X$419,0))&amp;"","")</f>
        <v>England &amp; Wales</v>
      </c>
      <c r="G17" s="7" t="str">
        <f>IFERROR(INDEX('All Data'!$G$2:$G$419,MATCH(1,Engine!$X$2:$X$419,0))&amp;"","")</f>
        <v>1990</v>
      </c>
      <c r="H17" s="7" t="str">
        <f>IFERROR(INDEX('All Data'!$H$2:$H$419,MATCH(1,Engine!$X$2:$X$419,0))&amp;"","")</f>
        <v>Part L</v>
      </c>
      <c r="I17" s="9">
        <f>IFERROR(INDEX('All Data'!$I$2:$I$419,MATCH(1,Engine!$X$2:$X$419,0)),"")</f>
        <v>0.45</v>
      </c>
    </row>
    <row r="18" spans="1:9" x14ac:dyDescent="0.3">
      <c r="A18" s="6">
        <f>IF($B18="","",2)</f>
        <v>2</v>
      </c>
      <c r="B18" s="7" t="str">
        <f>IFERROR(INDEX('All Data'!$B$2:$B$419,MATCH(2,Engine!$X$2:$X$419,0))&amp;"","")</f>
        <v>Wall</v>
      </c>
      <c r="C18" s="7" t="str">
        <f>IFERROR(INDEX('All Data'!$C$2:$C$419,MATCH(2,Engine!$X$2:$X$419,0))&amp;"","")</f>
        <v>Cavity Wall (Full Fill)</v>
      </c>
      <c r="D18" s="8" t="str">
        <f>IFERROR(INDEX('All Data'!$D$2:$D$419,MATCH(2,Engine!$X$2:$X$419,0))&amp;"","")</f>
        <v>Cavity wall</v>
      </c>
      <c r="E18" s="7" t="str">
        <f>IFERROR(INDEX('All Data'!$E$2:$E$419,MATCH(2,Engine!$X$2:$X$419,0))&amp;"","")</f>
        <v/>
      </c>
      <c r="F18" s="7" t="str">
        <f>IFERROR(INDEX('All Data'!$F$2:$F$419,MATCH(2,Engine!$X$2:$X$419,0))&amp;"","")</f>
        <v>England &amp; Wales</v>
      </c>
      <c r="G18" s="7" t="str">
        <f>IFERROR(INDEX('All Data'!$G$2:$G$419,MATCH(2,Engine!$X$2:$X$419,0))&amp;"","")</f>
        <v>1990</v>
      </c>
      <c r="H18" s="7" t="str">
        <f>IFERROR(INDEX('All Data'!$H$2:$H$419,MATCH(2,Engine!$X$2:$X$419,0))&amp;"","")</f>
        <v>Part L</v>
      </c>
      <c r="I18" s="9">
        <f>IFERROR(INDEX('All Data'!$I$2:$I$419,MATCH(2,Engine!$X$2:$X$419,0)),"")</f>
        <v>0.55000000000000004</v>
      </c>
    </row>
    <row r="19" spans="1:9" x14ac:dyDescent="0.3">
      <c r="A19" s="6">
        <f>IF($B19="","",3)</f>
        <v>3</v>
      </c>
      <c r="B19" s="7" t="str">
        <f>IFERROR(INDEX('All Data'!$B$2:$B$419,MATCH(3,Engine!$X$2:$X$419,0))&amp;"","")</f>
        <v>Wall</v>
      </c>
      <c r="C19" s="7" t="str">
        <f>IFERROR(INDEX('All Data'!$C$2:$C$419,MATCH(3,Engine!$X$2:$X$419,0))&amp;"","")</f>
        <v>Non-Structural Wall (Metal)</v>
      </c>
      <c r="D19" s="8" t="str">
        <f>IFERROR(INDEX('All Data'!$D$2:$D$419,MATCH(3,Engine!$X$2:$X$419,0))&amp;"","")</f>
        <v>Metal cladding wall</v>
      </c>
      <c r="E19" s="7" t="str">
        <f>IFERROR(INDEX('All Data'!$E$2:$E$419,MATCH(3,Engine!$X$2:$X$419,0))&amp;"","")</f>
        <v/>
      </c>
      <c r="F19" s="7" t="str">
        <f>IFERROR(INDEX('All Data'!$F$2:$F$419,MATCH(3,Engine!$X$2:$X$419,0))&amp;"","")</f>
        <v>England &amp; Wales</v>
      </c>
      <c r="G19" s="7" t="str">
        <f>IFERROR(INDEX('All Data'!$G$2:$G$419,MATCH(3,Engine!$X$2:$X$419,0))&amp;"","")</f>
        <v>1990</v>
      </c>
      <c r="H19" s="7" t="str">
        <f>IFERROR(INDEX('All Data'!$H$2:$H$419,MATCH(3,Engine!$X$2:$X$419,0))&amp;"","")</f>
        <v>Part L</v>
      </c>
      <c r="I19" s="9">
        <f>IFERROR(INDEX('All Data'!$I$2:$I$419,MATCH(3,Engine!$X$2:$X$419,0)),"")</f>
        <v>0.45</v>
      </c>
    </row>
    <row r="20" spans="1:9" x14ac:dyDescent="0.3">
      <c r="A20" s="6">
        <f>IF($B20="","",4)</f>
        <v>4</v>
      </c>
      <c r="B20" s="7" t="str">
        <f>IFERROR(INDEX('All Data'!$B$2:$B$419,MATCH(4,Engine!$X$2:$X$419,0))&amp;"","")</f>
        <v>Wall</v>
      </c>
      <c r="C20" s="7" t="str">
        <f>IFERROR(INDEX('All Data'!$C$2:$C$419,MATCH(4,Engine!$X$2:$X$419,0))&amp;"","")</f>
        <v>Timber Frame Wall</v>
      </c>
      <c r="D20" s="8" t="str">
        <f>IFERROR(INDEX('All Data'!$D$2:$D$419,MATCH(4,Engine!$X$2:$X$419,0))&amp;"","")</f>
        <v>Stud wall to roof void</v>
      </c>
      <c r="E20" s="7" t="str">
        <f>IFERROR(INDEX('All Data'!$E$2:$E$419,MATCH(4,Engine!$X$2:$X$419,0))&amp;"","")</f>
        <v/>
      </c>
      <c r="F20" s="7" t="str">
        <f>IFERROR(INDEX('All Data'!$F$2:$F$419,MATCH(4,Engine!$X$2:$X$419,0))&amp;"","")</f>
        <v>England &amp; Wales</v>
      </c>
      <c r="G20" s="7" t="str">
        <f>IFERROR(INDEX('All Data'!$G$2:$G$419,MATCH(4,Engine!$X$2:$X$419,0))&amp;"","")</f>
        <v>1990</v>
      </c>
      <c r="H20" s="7" t="str">
        <f>IFERROR(INDEX('All Data'!$H$2:$H$419,MATCH(4,Engine!$X$2:$X$419,0))&amp;"","")</f>
        <v>Part L</v>
      </c>
      <c r="I20" s="9">
        <f>IFERROR(INDEX('All Data'!$I$2:$I$419,MATCH(4,Engine!$X$2:$X$419,0)),"")</f>
        <v>0.45</v>
      </c>
    </row>
    <row r="21" spans="1:9" x14ac:dyDescent="0.3">
      <c r="A21" s="6">
        <f>IF($B21="","",5)</f>
        <v>5</v>
      </c>
      <c r="B21" s="7" t="str">
        <f>IFERROR(INDEX('All Data'!$B$2:$B$419,MATCH(5,Engine!$X$2:$X$419,0))&amp;"","")</f>
        <v>Wall</v>
      </c>
      <c r="C21" s="7" t="str">
        <f>IFERROR(INDEX('All Data'!$C$2:$C$419,MATCH(5,Engine!$X$2:$X$419,0))&amp;"","")</f>
        <v>Timber Frame Wall</v>
      </c>
      <c r="D21" s="8" t="str">
        <f>IFERROR(INDEX('All Data'!$D$2:$D$419,MATCH(5,Engine!$X$2:$X$419,0))&amp;"","")</f>
        <v>Timber frame wall</v>
      </c>
      <c r="E21" s="7" t="str">
        <f>IFERROR(INDEX('All Data'!$E$2:$E$419,MATCH(5,Engine!$X$2:$X$419,0))&amp;"","")</f>
        <v/>
      </c>
      <c r="F21" s="7" t="str">
        <f>IFERROR(INDEX('All Data'!$F$2:$F$419,MATCH(5,Engine!$X$2:$X$419,0))&amp;"","")</f>
        <v>England &amp; Wales</v>
      </c>
      <c r="G21" s="7" t="str">
        <f>IFERROR(INDEX('All Data'!$G$2:$G$419,MATCH(5,Engine!$X$2:$X$419,0))&amp;"","")</f>
        <v>1990</v>
      </c>
      <c r="H21" s="7" t="str">
        <f>IFERROR(INDEX('All Data'!$H$2:$H$419,MATCH(5,Engine!$X$2:$X$419,0))&amp;"","")</f>
        <v>Part L</v>
      </c>
      <c r="I21" s="9">
        <f>IFERROR(INDEX('All Data'!$I$2:$I$419,MATCH(5,Engine!$X$2:$X$419,0)),"")</f>
        <v>0.45</v>
      </c>
    </row>
    <row r="22" spans="1:9" x14ac:dyDescent="0.3">
      <c r="A22" s="6" t="str">
        <f>IF($B22="","",6)</f>
        <v/>
      </c>
      <c r="B22" s="7" t="str">
        <f>IFERROR(INDEX('All Data'!$B$2:$B$419,MATCH(6,Engine!$X$2:$X$419,0))&amp;"","")</f>
        <v/>
      </c>
      <c r="C22" s="7" t="str">
        <f>IFERROR(INDEX('All Data'!$C$2:$C$419,MATCH(6,Engine!$X$2:$X$419,0))&amp;"","")</f>
        <v/>
      </c>
      <c r="D22" s="8" t="str">
        <f>IFERROR(INDEX('All Data'!$D$2:$D$419,MATCH(6,Engine!$X$2:$X$419,0))&amp;"","")</f>
        <v/>
      </c>
      <c r="E22" s="7" t="str">
        <f>IFERROR(INDEX('All Data'!$E$2:$E$419,MATCH(6,Engine!$X$2:$X$419,0))&amp;"","")</f>
        <v/>
      </c>
      <c r="F22" s="7" t="str">
        <f>IFERROR(INDEX('All Data'!$F$2:$F$419,MATCH(6,Engine!$X$2:$X$419,0))&amp;"","")</f>
        <v/>
      </c>
      <c r="G22" s="7" t="str">
        <f>IFERROR(INDEX('All Data'!$G$2:$G$419,MATCH(6,Engine!$X$2:$X$419,0))&amp;"","")</f>
        <v/>
      </c>
      <c r="H22" s="7" t="str">
        <f>IFERROR(INDEX('All Data'!$H$2:$H$419,MATCH(6,Engine!$X$2:$X$419,0))&amp;"","")</f>
        <v/>
      </c>
      <c r="I22" s="9" t="str">
        <f>IFERROR(INDEX('All Data'!$I$2:$I$419,MATCH(6,Engine!$X$2:$X$419,0)),"")</f>
        <v/>
      </c>
    </row>
    <row r="23" spans="1:9" x14ac:dyDescent="0.3">
      <c r="A23" s="6" t="str">
        <f>IF($B23="","",7)</f>
        <v/>
      </c>
      <c r="B23" s="7" t="str">
        <f>IFERROR(INDEX('All Data'!$B$2:$B$419,MATCH(7,Engine!$X$2:$X$419,0))&amp;"","")</f>
        <v/>
      </c>
      <c r="C23" s="7" t="str">
        <f>IFERROR(INDEX('All Data'!$C$2:$C$419,MATCH(7,Engine!$X$2:$X$419,0))&amp;"","")</f>
        <v/>
      </c>
      <c r="D23" s="8" t="str">
        <f>IFERROR(INDEX('All Data'!$D$2:$D$419,MATCH(7,Engine!$X$2:$X$419,0))&amp;"","")</f>
        <v/>
      </c>
      <c r="E23" s="7" t="str">
        <f>IFERROR(INDEX('All Data'!$E$2:$E$419,MATCH(7,Engine!$X$2:$X$419,0))&amp;"","")</f>
        <v/>
      </c>
      <c r="F23" s="7" t="str">
        <f>IFERROR(INDEX('All Data'!$F$2:$F$419,MATCH(7,Engine!$X$2:$X$419,0))&amp;"","")</f>
        <v/>
      </c>
      <c r="G23" s="7" t="str">
        <f>IFERROR(INDEX('All Data'!$G$2:$G$419,MATCH(7,Engine!$X$2:$X$419,0))&amp;"","")</f>
        <v/>
      </c>
      <c r="H23" s="7" t="str">
        <f>IFERROR(INDEX('All Data'!$H$2:$H$419,MATCH(7,Engine!$X$2:$X$419,0))&amp;"","")</f>
        <v/>
      </c>
      <c r="I23" s="9" t="str">
        <f>IFERROR(INDEX('All Data'!$I$2:$I$419,MATCH(7,Engine!$X$2:$X$419,0)),"")</f>
        <v/>
      </c>
    </row>
    <row r="24" spans="1:9" x14ac:dyDescent="0.3">
      <c r="A24" s="6" t="str">
        <f>IF($B24="","",8)</f>
        <v/>
      </c>
      <c r="B24" s="7" t="str">
        <f>IFERROR(INDEX('All Data'!$B$2:$B$419,MATCH(8,Engine!$X$2:$X$419,0))&amp;"","")</f>
        <v/>
      </c>
      <c r="C24" s="7" t="str">
        <f>IFERROR(INDEX('All Data'!$C$2:$C$419,MATCH(8,Engine!$X$2:$X$419,0))&amp;"","")</f>
        <v/>
      </c>
      <c r="D24" s="8" t="str">
        <f>IFERROR(INDEX('All Data'!$D$2:$D$419,MATCH(8,Engine!$X$2:$X$419,0))&amp;"","")</f>
        <v/>
      </c>
      <c r="E24" s="7" t="str">
        <f>IFERROR(INDEX('All Data'!$E$2:$E$419,MATCH(8,Engine!$X$2:$X$419,0))&amp;"","")</f>
        <v/>
      </c>
      <c r="F24" s="7" t="str">
        <f>IFERROR(INDEX('All Data'!$F$2:$F$419,MATCH(8,Engine!$X$2:$X$419,0))&amp;"","")</f>
        <v/>
      </c>
      <c r="G24" s="7" t="str">
        <f>IFERROR(INDEX('All Data'!$G$2:$G$419,MATCH(8,Engine!$X$2:$X$419,0))&amp;"","")</f>
        <v/>
      </c>
      <c r="H24" s="7" t="str">
        <f>IFERROR(INDEX('All Data'!$H$2:$H$419,MATCH(8,Engine!$X$2:$X$419,0))&amp;"","")</f>
        <v/>
      </c>
      <c r="I24" s="9" t="str">
        <f>IFERROR(INDEX('All Data'!$I$2:$I$419,MATCH(8,Engine!$X$2:$X$419,0)),"")</f>
        <v/>
      </c>
    </row>
    <row r="25" spans="1:9" x14ac:dyDescent="0.3">
      <c r="A25" s="6" t="str">
        <f>IF($B25="","",9)</f>
        <v/>
      </c>
      <c r="B25" s="7" t="str">
        <f>IFERROR(INDEX('All Data'!$B$2:$B$419,MATCH(9,Engine!$X$2:$X$419,0))&amp;"","")</f>
        <v/>
      </c>
      <c r="C25" s="7" t="str">
        <f>IFERROR(INDEX('All Data'!$C$2:$C$419,MATCH(9,Engine!$X$2:$X$419,0))&amp;"","")</f>
        <v/>
      </c>
      <c r="D25" s="8" t="str">
        <f>IFERROR(INDEX('All Data'!$D$2:$D$419,MATCH(9,Engine!$X$2:$X$419,0))&amp;"","")</f>
        <v/>
      </c>
      <c r="E25" s="7" t="str">
        <f>IFERROR(INDEX('All Data'!$E$2:$E$419,MATCH(9,Engine!$X$2:$X$419,0))&amp;"","")</f>
        <v/>
      </c>
      <c r="F25" s="7" t="str">
        <f>IFERROR(INDEX('All Data'!$F$2:$F$419,MATCH(9,Engine!$X$2:$X$419,0))&amp;"","")</f>
        <v/>
      </c>
      <c r="G25" s="7" t="str">
        <f>IFERROR(INDEX('All Data'!$G$2:$G$419,MATCH(9,Engine!$X$2:$X$419,0))&amp;"","")</f>
        <v/>
      </c>
      <c r="H25" s="7" t="str">
        <f>IFERROR(INDEX('All Data'!$H$2:$H$419,MATCH(9,Engine!$X$2:$X$419,0))&amp;"","")</f>
        <v/>
      </c>
      <c r="I25" s="9" t="str">
        <f>IFERROR(INDEX('All Data'!$I$2:$I$419,MATCH(9,Engine!$X$2:$X$419,0)),"")</f>
        <v/>
      </c>
    </row>
    <row r="26" spans="1:9" x14ac:dyDescent="0.3">
      <c r="A26" s="6" t="str">
        <f>IF($B26="","",10)</f>
        <v/>
      </c>
      <c r="B26" s="7" t="str">
        <f>IFERROR(INDEX('All Data'!$B$2:$B$419,MATCH(10,Engine!$X$2:$X$419,0))&amp;"","")</f>
        <v/>
      </c>
      <c r="C26" s="7" t="str">
        <f>IFERROR(INDEX('All Data'!$C$2:$C$419,MATCH(10,Engine!$X$2:$X$419,0))&amp;"","")</f>
        <v/>
      </c>
      <c r="D26" s="8" t="str">
        <f>IFERROR(INDEX('All Data'!$D$2:$D$419,MATCH(10,Engine!$X$2:$X$419,0))&amp;"","")</f>
        <v/>
      </c>
      <c r="E26" s="7" t="str">
        <f>IFERROR(INDEX('All Data'!$E$2:$E$419,MATCH(10,Engine!$X$2:$X$419,0))&amp;"","")</f>
        <v/>
      </c>
      <c r="F26" s="7" t="str">
        <f>IFERROR(INDEX('All Data'!$F$2:$F$419,MATCH(10,Engine!$X$2:$X$419,0))&amp;"","")</f>
        <v/>
      </c>
      <c r="G26" s="7" t="str">
        <f>IFERROR(INDEX('All Data'!$G$2:$G$419,MATCH(10,Engine!$X$2:$X$419,0))&amp;"","")</f>
        <v/>
      </c>
      <c r="H26" s="7" t="str">
        <f>IFERROR(INDEX('All Data'!$H$2:$H$419,MATCH(10,Engine!$X$2:$X$419,0))&amp;"","")</f>
        <v/>
      </c>
      <c r="I26" s="9" t="str">
        <f>IFERROR(INDEX('All Data'!$I$2:$I$419,MATCH(10,Engine!$X$2:$X$419,0)),"")</f>
        <v/>
      </c>
    </row>
    <row r="27" spans="1:9" x14ac:dyDescent="0.3">
      <c r="A27" s="6" t="str">
        <f>IF($B27="","",11)</f>
        <v/>
      </c>
      <c r="B27" s="7" t="str">
        <f>IFERROR(INDEX('All Data'!$B$2:$B$419,MATCH(11,Engine!$X$2:$X$419,0))&amp;"","")</f>
        <v/>
      </c>
      <c r="C27" s="7" t="str">
        <f>IFERROR(INDEX('All Data'!$C$2:$C$419,MATCH(11,Engine!$X$2:$X$419,0))&amp;"","")</f>
        <v/>
      </c>
      <c r="D27" s="8" t="str">
        <f>IFERROR(INDEX('All Data'!$D$2:$D$419,MATCH(11,Engine!$X$2:$X$419,0))&amp;"","")</f>
        <v/>
      </c>
      <c r="E27" s="7" t="str">
        <f>IFERROR(INDEX('All Data'!$E$2:$E$419,MATCH(11,Engine!$X$2:$X$419,0))&amp;"","")</f>
        <v/>
      </c>
      <c r="F27" s="7" t="str">
        <f>IFERROR(INDEX('All Data'!$F$2:$F$419,MATCH(11,Engine!$X$2:$X$419,0))&amp;"","")</f>
        <v/>
      </c>
      <c r="G27" s="7" t="str">
        <f>IFERROR(INDEX('All Data'!$G$2:$G$419,MATCH(11,Engine!$X$2:$X$419,0))&amp;"","")</f>
        <v/>
      </c>
      <c r="H27" s="7" t="str">
        <f>IFERROR(INDEX('All Data'!$H$2:$H$419,MATCH(11,Engine!$X$2:$X$419,0))&amp;"","")</f>
        <v/>
      </c>
      <c r="I27" s="9" t="str">
        <f>IFERROR(INDEX('All Data'!$I$2:$I$419,MATCH(11,Engine!$X$2:$X$419,0)),"")</f>
        <v/>
      </c>
    </row>
    <row r="28" spans="1:9" x14ac:dyDescent="0.3">
      <c r="A28" s="6" t="str">
        <f>IF($B28="","",12)</f>
        <v/>
      </c>
      <c r="B28" s="7" t="str">
        <f>IFERROR(INDEX('All Data'!$B$2:$B$419,MATCH(12,Engine!$X$2:$X$419,0))&amp;"","")</f>
        <v/>
      </c>
      <c r="C28" s="7" t="str">
        <f>IFERROR(INDEX('All Data'!$C$2:$C$419,MATCH(12,Engine!$X$2:$X$419,0))&amp;"","")</f>
        <v/>
      </c>
      <c r="D28" s="8" t="str">
        <f>IFERROR(INDEX('All Data'!$D$2:$D$419,MATCH(12,Engine!$X$2:$X$419,0))&amp;"","")</f>
        <v/>
      </c>
      <c r="E28" s="7" t="str">
        <f>IFERROR(INDEX('All Data'!$E$2:$E$419,MATCH(12,Engine!$X$2:$X$419,0))&amp;"","")</f>
        <v/>
      </c>
      <c r="F28" s="7" t="str">
        <f>IFERROR(INDEX('All Data'!$F$2:$F$419,MATCH(12,Engine!$X$2:$X$419,0))&amp;"","")</f>
        <v/>
      </c>
      <c r="G28" s="7" t="str">
        <f>IFERROR(INDEX('All Data'!$G$2:$G$419,MATCH(12,Engine!$X$2:$X$419,0))&amp;"","")</f>
        <v/>
      </c>
      <c r="H28" s="7" t="str">
        <f>IFERROR(INDEX('All Data'!$H$2:$H$419,MATCH(12,Engine!$X$2:$X$419,0))&amp;"","")</f>
        <v/>
      </c>
      <c r="I28" s="9" t="str">
        <f>IFERROR(INDEX('All Data'!$I$2:$I$419,MATCH(12,Engine!$X$2:$X$419,0)),"")</f>
        <v/>
      </c>
    </row>
    <row r="29" spans="1:9" x14ac:dyDescent="0.3">
      <c r="A29" s="6" t="str">
        <f>IF($B29="","",13)</f>
        <v/>
      </c>
      <c r="B29" s="7" t="str">
        <f>IFERROR(INDEX('All Data'!$B$2:$B$419,MATCH(13,Engine!$X$2:$X$419,0))&amp;"","")</f>
        <v/>
      </c>
      <c r="C29" s="7" t="str">
        <f>IFERROR(INDEX('All Data'!$C$2:$C$419,MATCH(13,Engine!$X$2:$X$419,0))&amp;"","")</f>
        <v/>
      </c>
      <c r="D29" s="8" t="str">
        <f>IFERROR(INDEX('All Data'!$D$2:$D$419,MATCH(13,Engine!$X$2:$X$419,0))&amp;"","")</f>
        <v/>
      </c>
      <c r="E29" s="7" t="str">
        <f>IFERROR(INDEX('All Data'!$E$2:$E$419,MATCH(13,Engine!$X$2:$X$419,0))&amp;"","")</f>
        <v/>
      </c>
      <c r="F29" s="7" t="str">
        <f>IFERROR(INDEX('All Data'!$F$2:$F$419,MATCH(13,Engine!$X$2:$X$419,0))&amp;"","")</f>
        <v/>
      </c>
      <c r="G29" s="7" t="str">
        <f>IFERROR(INDEX('All Data'!$G$2:$G$419,MATCH(13,Engine!$X$2:$X$419,0))&amp;"","")</f>
        <v/>
      </c>
      <c r="H29" s="7" t="str">
        <f>IFERROR(INDEX('All Data'!$H$2:$H$419,MATCH(13,Engine!$X$2:$X$419,0))&amp;"","")</f>
        <v/>
      </c>
      <c r="I29" s="9" t="str">
        <f>IFERROR(INDEX('All Data'!$I$2:$I$419,MATCH(13,Engine!$X$2:$X$419,0)),"")</f>
        <v/>
      </c>
    </row>
    <row r="30" spans="1:9" x14ac:dyDescent="0.3">
      <c r="A30" s="6" t="str">
        <f>IF($B30="","",14)</f>
        <v/>
      </c>
      <c r="B30" s="7" t="str">
        <f>IFERROR(INDEX('All Data'!$B$2:$B$419,MATCH(14,Engine!$X$2:$X$419,0))&amp;"","")</f>
        <v/>
      </c>
      <c r="C30" s="7" t="str">
        <f>IFERROR(INDEX('All Data'!$C$2:$C$419,MATCH(14,Engine!$X$2:$X$419,0))&amp;"","")</f>
        <v/>
      </c>
      <c r="D30" s="8" t="str">
        <f>IFERROR(INDEX('All Data'!$D$2:$D$419,MATCH(14,Engine!$X$2:$X$419,0))&amp;"","")</f>
        <v/>
      </c>
      <c r="E30" s="7" t="str">
        <f>IFERROR(INDEX('All Data'!$E$2:$E$419,MATCH(14,Engine!$X$2:$X$419,0))&amp;"","")</f>
        <v/>
      </c>
      <c r="F30" s="7" t="str">
        <f>IFERROR(INDEX('All Data'!$F$2:$F$419,MATCH(14,Engine!$X$2:$X$419,0))&amp;"","")</f>
        <v/>
      </c>
      <c r="G30" s="7" t="str">
        <f>IFERROR(INDEX('All Data'!$G$2:$G$419,MATCH(14,Engine!$X$2:$X$419,0))&amp;"","")</f>
        <v/>
      </c>
      <c r="H30" s="7" t="str">
        <f>IFERROR(INDEX('All Data'!$H$2:$H$419,MATCH(14,Engine!$X$2:$X$419,0))&amp;"","")</f>
        <v/>
      </c>
      <c r="I30" s="9" t="str">
        <f>IFERROR(INDEX('All Data'!$I$2:$I$419,MATCH(14,Engine!$X$2:$X$419,0)),"")</f>
        <v/>
      </c>
    </row>
    <row r="31" spans="1:9" x14ac:dyDescent="0.3">
      <c r="A31" s="6" t="str">
        <f>IF($B31="","",15)</f>
        <v/>
      </c>
      <c r="B31" s="7" t="str">
        <f>IFERROR(INDEX('All Data'!$B$2:$B$419,MATCH(15,Engine!$X$2:$X$419,0))&amp;"","")</f>
        <v/>
      </c>
      <c r="C31" s="7" t="str">
        <f>IFERROR(INDEX('All Data'!$C$2:$C$419,MATCH(15,Engine!$X$2:$X$419,0))&amp;"","")</f>
        <v/>
      </c>
      <c r="D31" s="8" t="str">
        <f>IFERROR(INDEX('All Data'!$D$2:$D$419,MATCH(15,Engine!$X$2:$X$419,0))&amp;"","")</f>
        <v/>
      </c>
      <c r="E31" s="7" t="str">
        <f>IFERROR(INDEX('All Data'!$E$2:$E$419,MATCH(15,Engine!$X$2:$X$419,0))&amp;"","")</f>
        <v/>
      </c>
      <c r="F31" s="7" t="str">
        <f>IFERROR(INDEX('All Data'!$F$2:$F$419,MATCH(15,Engine!$X$2:$X$419,0))&amp;"","")</f>
        <v/>
      </c>
      <c r="G31" s="7" t="str">
        <f>IFERROR(INDEX('All Data'!$G$2:$G$419,MATCH(15,Engine!$X$2:$X$419,0))&amp;"","")</f>
        <v/>
      </c>
      <c r="H31" s="7" t="str">
        <f>IFERROR(INDEX('All Data'!$H$2:$H$419,MATCH(15,Engine!$X$2:$X$419,0))&amp;"","")</f>
        <v/>
      </c>
      <c r="I31" s="9" t="str">
        <f>IFERROR(INDEX('All Data'!$I$2:$I$419,MATCH(15,Engine!$X$2:$X$419,0)),"")</f>
        <v/>
      </c>
    </row>
    <row r="32" spans="1:9" x14ac:dyDescent="0.3">
      <c r="A32" s="6" t="str">
        <f>IF($B32="","",16)</f>
        <v/>
      </c>
      <c r="B32" s="7" t="str">
        <f>IFERROR(INDEX('All Data'!$B$2:$B$419,MATCH(16,Engine!$X$2:$X$419,0))&amp;"","")</f>
        <v/>
      </c>
      <c r="C32" s="7" t="str">
        <f>IFERROR(INDEX('All Data'!$C$2:$C$419,MATCH(16,Engine!$X$2:$X$419,0))&amp;"","")</f>
        <v/>
      </c>
      <c r="D32" s="8" t="str">
        <f>IFERROR(INDEX('All Data'!$D$2:$D$419,MATCH(16,Engine!$X$2:$X$419,0))&amp;"","")</f>
        <v/>
      </c>
      <c r="E32" s="7" t="str">
        <f>IFERROR(INDEX('All Data'!$E$2:$E$419,MATCH(16,Engine!$X$2:$X$419,0))&amp;"","")</f>
        <v/>
      </c>
      <c r="F32" s="7" t="str">
        <f>IFERROR(INDEX('All Data'!$F$2:$F$419,MATCH(16,Engine!$X$2:$X$419,0))&amp;"","")</f>
        <v/>
      </c>
      <c r="G32" s="7" t="str">
        <f>IFERROR(INDEX('All Data'!$G$2:$G$419,MATCH(16,Engine!$X$2:$X$419,0))&amp;"","")</f>
        <v/>
      </c>
      <c r="H32" s="7" t="str">
        <f>IFERROR(INDEX('All Data'!$H$2:$H$419,MATCH(16,Engine!$X$2:$X$419,0))&amp;"","")</f>
        <v/>
      </c>
      <c r="I32" s="9" t="str">
        <f>IFERROR(INDEX('All Data'!$I$2:$I$419,MATCH(16,Engine!$X$2:$X$419,0)),"")</f>
        <v/>
      </c>
    </row>
    <row r="33" spans="1:9" x14ac:dyDescent="0.3">
      <c r="A33" s="6" t="str">
        <f>IF($B33="","",17)</f>
        <v/>
      </c>
      <c r="B33" s="7" t="str">
        <f>IFERROR(INDEX('All Data'!$B$2:$B$419,MATCH(17,Engine!$X$2:$X$419,0))&amp;"","")</f>
        <v/>
      </c>
      <c r="C33" s="7" t="str">
        <f>IFERROR(INDEX('All Data'!$C$2:$C$419,MATCH(17,Engine!$X$2:$X$419,0))&amp;"","")</f>
        <v/>
      </c>
      <c r="D33" s="8" t="str">
        <f>IFERROR(INDEX('All Data'!$D$2:$D$419,MATCH(17,Engine!$X$2:$X$419,0))&amp;"","")</f>
        <v/>
      </c>
      <c r="E33" s="7" t="str">
        <f>IFERROR(INDEX('All Data'!$E$2:$E$419,MATCH(17,Engine!$X$2:$X$419,0))&amp;"","")</f>
        <v/>
      </c>
      <c r="F33" s="7" t="str">
        <f>IFERROR(INDEX('All Data'!$F$2:$F$419,MATCH(17,Engine!$X$2:$X$419,0))&amp;"","")</f>
        <v/>
      </c>
      <c r="G33" s="7" t="str">
        <f>IFERROR(INDEX('All Data'!$G$2:$G$419,MATCH(17,Engine!$X$2:$X$419,0))&amp;"","")</f>
        <v/>
      </c>
      <c r="H33" s="7" t="str">
        <f>IFERROR(INDEX('All Data'!$H$2:$H$419,MATCH(17,Engine!$X$2:$X$419,0))&amp;"","")</f>
        <v/>
      </c>
      <c r="I33" s="9" t="str">
        <f>IFERROR(INDEX('All Data'!$I$2:$I$419,MATCH(17,Engine!$X$2:$X$419,0)),"")</f>
        <v/>
      </c>
    </row>
    <row r="34" spans="1:9" x14ac:dyDescent="0.3">
      <c r="A34" s="6" t="str">
        <f>IF($B34="","",18)</f>
        <v/>
      </c>
      <c r="B34" s="7" t="str">
        <f>IFERROR(INDEX('All Data'!$B$2:$B$419,MATCH(18,Engine!$X$2:$X$419,0))&amp;"","")</f>
        <v/>
      </c>
      <c r="C34" s="7" t="str">
        <f>IFERROR(INDEX('All Data'!$C$2:$C$419,MATCH(18,Engine!$X$2:$X$419,0))&amp;"","")</f>
        <v/>
      </c>
      <c r="D34" s="8" t="str">
        <f>IFERROR(INDEX('All Data'!$D$2:$D$419,MATCH(18,Engine!$X$2:$X$419,0))&amp;"","")</f>
        <v/>
      </c>
      <c r="E34" s="7" t="str">
        <f>IFERROR(INDEX('All Data'!$E$2:$E$419,MATCH(18,Engine!$X$2:$X$419,0))&amp;"","")</f>
        <v/>
      </c>
      <c r="F34" s="7" t="str">
        <f>IFERROR(INDEX('All Data'!$F$2:$F$419,MATCH(18,Engine!$X$2:$X$419,0))&amp;"","")</f>
        <v/>
      </c>
      <c r="G34" s="7" t="str">
        <f>IFERROR(INDEX('All Data'!$G$2:$G$419,MATCH(18,Engine!$X$2:$X$419,0))&amp;"","")</f>
        <v/>
      </c>
      <c r="H34" s="7" t="str">
        <f>IFERROR(INDEX('All Data'!$H$2:$H$419,MATCH(18,Engine!$X$2:$X$419,0))&amp;"","")</f>
        <v/>
      </c>
      <c r="I34" s="9" t="str">
        <f>IFERROR(INDEX('All Data'!$I$2:$I$419,MATCH(18,Engine!$X$2:$X$419,0)),"")</f>
        <v/>
      </c>
    </row>
    <row r="35" spans="1:9" x14ac:dyDescent="0.3">
      <c r="A35" s="6" t="str">
        <f>IF($B35="","",19)</f>
        <v/>
      </c>
      <c r="B35" s="7" t="str">
        <f>IFERROR(INDEX('All Data'!$B$2:$B$419,MATCH(19,Engine!$X$2:$X$419,0))&amp;"","")</f>
        <v/>
      </c>
      <c r="C35" s="7" t="str">
        <f>IFERROR(INDEX('All Data'!$C$2:$C$419,MATCH(19,Engine!$X$2:$X$419,0))&amp;"","")</f>
        <v/>
      </c>
      <c r="D35" s="8" t="str">
        <f>IFERROR(INDEX('All Data'!$D$2:$D$419,MATCH(19,Engine!$X$2:$X$419,0))&amp;"","")</f>
        <v/>
      </c>
      <c r="E35" s="7" t="str">
        <f>IFERROR(INDEX('All Data'!$E$2:$E$419,MATCH(19,Engine!$X$2:$X$419,0))&amp;"","")</f>
        <v/>
      </c>
      <c r="F35" s="7" t="str">
        <f>IFERROR(INDEX('All Data'!$F$2:$F$419,MATCH(19,Engine!$X$2:$X$419,0))&amp;"","")</f>
        <v/>
      </c>
      <c r="G35" s="7" t="str">
        <f>IFERROR(INDEX('All Data'!$G$2:$G$419,MATCH(19,Engine!$X$2:$X$419,0))&amp;"","")</f>
        <v/>
      </c>
      <c r="H35" s="7" t="str">
        <f>IFERROR(INDEX('All Data'!$H$2:$H$419,MATCH(19,Engine!$X$2:$X$419,0))&amp;"","")</f>
        <v/>
      </c>
      <c r="I35" s="9" t="str">
        <f>IFERROR(INDEX('All Data'!$I$2:$I$419,MATCH(19,Engine!$X$2:$X$419,0)),"")</f>
        <v/>
      </c>
    </row>
    <row r="36" spans="1:9" x14ac:dyDescent="0.3">
      <c r="A36" s="6" t="str">
        <f>IF($B36="","",20)</f>
        <v/>
      </c>
      <c r="B36" s="7" t="str">
        <f>IFERROR(INDEX('All Data'!$B$2:$B$419,MATCH(20,Engine!$X$2:$X$419,0))&amp;"","")</f>
        <v/>
      </c>
      <c r="C36" s="7" t="str">
        <f>IFERROR(INDEX('All Data'!$C$2:$C$419,MATCH(20,Engine!$X$2:$X$419,0))&amp;"","")</f>
        <v/>
      </c>
      <c r="D36" s="8" t="str">
        <f>IFERROR(INDEX('All Data'!$D$2:$D$419,MATCH(20,Engine!$X$2:$X$419,0))&amp;"","")</f>
        <v/>
      </c>
      <c r="E36" s="7" t="str">
        <f>IFERROR(INDEX('All Data'!$E$2:$E$419,MATCH(20,Engine!$X$2:$X$419,0))&amp;"","")</f>
        <v/>
      </c>
      <c r="F36" s="7" t="str">
        <f>IFERROR(INDEX('All Data'!$F$2:$F$419,MATCH(20,Engine!$X$2:$X$419,0))&amp;"","")</f>
        <v/>
      </c>
      <c r="G36" s="7" t="str">
        <f>IFERROR(INDEX('All Data'!$G$2:$G$419,MATCH(20,Engine!$X$2:$X$419,0))&amp;"","")</f>
        <v/>
      </c>
      <c r="H36" s="7" t="str">
        <f>IFERROR(INDEX('All Data'!$H$2:$H$419,MATCH(20,Engine!$X$2:$X$419,0))&amp;"","")</f>
        <v/>
      </c>
      <c r="I36" s="9" t="str">
        <f>IFERROR(INDEX('All Data'!$I$2:$I$419,MATCH(20,Engine!$X$2:$X$419,0)),"")</f>
        <v/>
      </c>
    </row>
    <row r="37" spans="1:9" x14ac:dyDescent="0.3">
      <c r="A37" s="6" t="str">
        <f>IF($B37="","",21)</f>
        <v/>
      </c>
      <c r="B37" s="7" t="str">
        <f>IFERROR(INDEX('All Data'!$B$2:$B$419,MATCH(21,Engine!$X$2:$X$419,0))&amp;"","")</f>
        <v/>
      </c>
      <c r="C37" s="7" t="str">
        <f>IFERROR(INDEX('All Data'!$C$2:$C$419,MATCH(21,Engine!$X$2:$X$419,0))&amp;"","")</f>
        <v/>
      </c>
      <c r="D37" s="8" t="str">
        <f>IFERROR(INDEX('All Data'!$D$2:$D$419,MATCH(21,Engine!$X$2:$X$419,0))&amp;"","")</f>
        <v/>
      </c>
      <c r="E37" s="7" t="str">
        <f>IFERROR(INDEX('All Data'!$E$2:$E$419,MATCH(21,Engine!$X$2:$X$419,0))&amp;"","")</f>
        <v/>
      </c>
      <c r="F37" s="7" t="str">
        <f>IFERROR(INDEX('All Data'!$F$2:$F$419,MATCH(21,Engine!$X$2:$X$419,0))&amp;"","")</f>
        <v/>
      </c>
      <c r="G37" s="7" t="str">
        <f>IFERROR(INDEX('All Data'!$G$2:$G$419,MATCH(21,Engine!$X$2:$X$419,0))&amp;"","")</f>
        <v/>
      </c>
      <c r="H37" s="7" t="str">
        <f>IFERROR(INDEX('All Data'!$H$2:$H$419,MATCH(21,Engine!$X$2:$X$419,0))&amp;"","")</f>
        <v/>
      </c>
      <c r="I37" s="9" t="str">
        <f>IFERROR(INDEX('All Data'!$I$2:$I$419,MATCH(21,Engine!$X$2:$X$419,0)),"")</f>
        <v/>
      </c>
    </row>
    <row r="38" spans="1:9" x14ac:dyDescent="0.3">
      <c r="A38" s="6" t="str">
        <f>IF($B38="","",22)</f>
        <v/>
      </c>
      <c r="B38" s="7" t="str">
        <f>IFERROR(INDEX('All Data'!$B$2:$B$419,MATCH(22,Engine!$X$2:$X$419,0))&amp;"","")</f>
        <v/>
      </c>
      <c r="C38" s="7" t="str">
        <f>IFERROR(INDEX('All Data'!$C$2:$C$419,MATCH(22,Engine!$X$2:$X$419,0))&amp;"","")</f>
        <v/>
      </c>
      <c r="D38" s="8" t="str">
        <f>IFERROR(INDEX('All Data'!$D$2:$D$419,MATCH(22,Engine!$X$2:$X$419,0))&amp;"","")</f>
        <v/>
      </c>
      <c r="E38" s="7" t="str">
        <f>IFERROR(INDEX('All Data'!$E$2:$E$419,MATCH(22,Engine!$X$2:$X$419,0))&amp;"","")</f>
        <v/>
      </c>
      <c r="F38" s="7" t="str">
        <f>IFERROR(INDEX('All Data'!$F$2:$F$419,MATCH(22,Engine!$X$2:$X$419,0))&amp;"","")</f>
        <v/>
      </c>
      <c r="G38" s="7" t="str">
        <f>IFERROR(INDEX('All Data'!$G$2:$G$419,MATCH(22,Engine!$X$2:$X$419,0))&amp;"","")</f>
        <v/>
      </c>
      <c r="H38" s="7" t="str">
        <f>IFERROR(INDEX('All Data'!$H$2:$H$419,MATCH(22,Engine!$X$2:$X$419,0))&amp;"","")</f>
        <v/>
      </c>
      <c r="I38" s="9" t="str">
        <f>IFERROR(INDEX('All Data'!$I$2:$I$419,MATCH(22,Engine!$X$2:$X$419,0)),"")</f>
        <v/>
      </c>
    </row>
    <row r="39" spans="1:9" x14ac:dyDescent="0.3">
      <c r="A39" s="6" t="str">
        <f>IF($B39="","",23)</f>
        <v/>
      </c>
      <c r="B39" s="7" t="str">
        <f>IFERROR(INDEX('All Data'!$B$2:$B$419,MATCH(23,Engine!$X$2:$X$419,0))&amp;"","")</f>
        <v/>
      </c>
      <c r="C39" s="7" t="str">
        <f>IFERROR(INDEX('All Data'!$C$2:$C$419,MATCH(23,Engine!$X$2:$X$419,0))&amp;"","")</f>
        <v/>
      </c>
      <c r="D39" s="8" t="str">
        <f>IFERROR(INDEX('All Data'!$D$2:$D$419,MATCH(23,Engine!$X$2:$X$419,0))&amp;"","")</f>
        <v/>
      </c>
      <c r="E39" s="7" t="str">
        <f>IFERROR(INDEX('All Data'!$E$2:$E$419,MATCH(23,Engine!$X$2:$X$419,0))&amp;"","")</f>
        <v/>
      </c>
      <c r="F39" s="7" t="str">
        <f>IFERROR(INDEX('All Data'!$F$2:$F$419,MATCH(23,Engine!$X$2:$X$419,0))&amp;"","")</f>
        <v/>
      </c>
      <c r="G39" s="7" t="str">
        <f>IFERROR(INDEX('All Data'!$G$2:$G$419,MATCH(23,Engine!$X$2:$X$419,0))&amp;"","")</f>
        <v/>
      </c>
      <c r="H39" s="7" t="str">
        <f>IFERROR(INDEX('All Data'!$H$2:$H$419,MATCH(23,Engine!$X$2:$X$419,0))&amp;"","")</f>
        <v/>
      </c>
      <c r="I39" s="9" t="str">
        <f>IFERROR(INDEX('All Data'!$I$2:$I$419,MATCH(23,Engine!$X$2:$X$419,0)),"")</f>
        <v/>
      </c>
    </row>
    <row r="40" spans="1:9" x14ac:dyDescent="0.3">
      <c r="A40" s="6" t="str">
        <f>IF($B40="","",24)</f>
        <v/>
      </c>
      <c r="B40" s="7" t="str">
        <f>IFERROR(INDEX('All Data'!$B$2:$B$419,MATCH(24,Engine!$X$2:$X$419,0))&amp;"","")</f>
        <v/>
      </c>
      <c r="C40" s="7" t="str">
        <f>IFERROR(INDEX('All Data'!$C$2:$C$419,MATCH(24,Engine!$X$2:$X$419,0))&amp;"","")</f>
        <v/>
      </c>
      <c r="D40" s="8" t="str">
        <f>IFERROR(INDEX('All Data'!$D$2:$D$419,MATCH(24,Engine!$X$2:$X$419,0))&amp;"","")</f>
        <v/>
      </c>
      <c r="E40" s="7" t="str">
        <f>IFERROR(INDEX('All Data'!$E$2:$E$419,MATCH(24,Engine!$X$2:$X$419,0))&amp;"","")</f>
        <v/>
      </c>
      <c r="F40" s="7" t="str">
        <f>IFERROR(INDEX('All Data'!$F$2:$F$419,MATCH(24,Engine!$X$2:$X$419,0))&amp;"","")</f>
        <v/>
      </c>
      <c r="G40" s="7" t="str">
        <f>IFERROR(INDEX('All Data'!$G$2:$G$419,MATCH(24,Engine!$X$2:$X$419,0))&amp;"","")</f>
        <v/>
      </c>
      <c r="H40" s="7" t="str">
        <f>IFERROR(INDEX('All Data'!$H$2:$H$419,MATCH(24,Engine!$X$2:$X$419,0))&amp;"","")</f>
        <v/>
      </c>
      <c r="I40" s="9" t="str">
        <f>IFERROR(INDEX('All Data'!$I$2:$I$419,MATCH(24,Engine!$X$2:$X$419,0)),"")</f>
        <v/>
      </c>
    </row>
    <row r="41" spans="1:9" x14ac:dyDescent="0.3">
      <c r="A41" s="6" t="str">
        <f>IF($B41="","",25)</f>
        <v/>
      </c>
      <c r="B41" s="7" t="str">
        <f>IFERROR(INDEX('All Data'!$B$2:$B$419,MATCH(25,Engine!$X$2:$X$419,0))&amp;"","")</f>
        <v/>
      </c>
      <c r="C41" s="7" t="str">
        <f>IFERROR(INDEX('All Data'!$C$2:$C$419,MATCH(25,Engine!$X$2:$X$419,0))&amp;"","")</f>
        <v/>
      </c>
      <c r="D41" s="8" t="str">
        <f>IFERROR(INDEX('All Data'!$D$2:$D$419,MATCH(25,Engine!$X$2:$X$419,0))&amp;"","")</f>
        <v/>
      </c>
      <c r="E41" s="7" t="str">
        <f>IFERROR(INDEX('All Data'!$E$2:$E$419,MATCH(25,Engine!$X$2:$X$419,0))&amp;"","")</f>
        <v/>
      </c>
      <c r="F41" s="7" t="str">
        <f>IFERROR(INDEX('All Data'!$F$2:$F$419,MATCH(25,Engine!$X$2:$X$419,0))&amp;"","")</f>
        <v/>
      </c>
      <c r="G41" s="7" t="str">
        <f>IFERROR(INDEX('All Data'!$G$2:$G$419,MATCH(25,Engine!$X$2:$X$419,0))&amp;"","")</f>
        <v/>
      </c>
      <c r="H41" s="7" t="str">
        <f>IFERROR(INDEX('All Data'!$H$2:$H$419,MATCH(25,Engine!$X$2:$X$419,0))&amp;"","")</f>
        <v/>
      </c>
      <c r="I41" s="9" t="str">
        <f>IFERROR(INDEX('All Data'!$I$2:$I$419,MATCH(25,Engine!$X$2:$X$419,0)),"")</f>
        <v/>
      </c>
    </row>
    <row r="42" spans="1:9" x14ac:dyDescent="0.3">
      <c r="A42" s="6" t="str">
        <f>IF($B42="","",26)</f>
        <v/>
      </c>
      <c r="B42" s="7" t="str">
        <f>IFERROR(INDEX('All Data'!$B$2:$B$419,MATCH(26,Engine!$X$2:$X$419,0))&amp;"","")</f>
        <v/>
      </c>
      <c r="C42" s="7" t="str">
        <f>IFERROR(INDEX('All Data'!$C$2:$C$419,MATCH(26,Engine!$X$2:$X$419,0))&amp;"","")</f>
        <v/>
      </c>
      <c r="D42" s="8" t="str">
        <f>IFERROR(INDEX('All Data'!$D$2:$D$419,MATCH(26,Engine!$X$2:$X$419,0))&amp;"","")</f>
        <v/>
      </c>
      <c r="E42" s="7" t="str">
        <f>IFERROR(INDEX('All Data'!$E$2:$E$419,MATCH(26,Engine!$X$2:$X$419,0))&amp;"","")</f>
        <v/>
      </c>
      <c r="F42" s="7" t="str">
        <f>IFERROR(INDEX('All Data'!$F$2:$F$419,MATCH(26,Engine!$X$2:$X$419,0))&amp;"","")</f>
        <v/>
      </c>
      <c r="G42" s="7" t="str">
        <f>IFERROR(INDEX('All Data'!$G$2:$G$419,MATCH(26,Engine!$X$2:$X$419,0))&amp;"","")</f>
        <v/>
      </c>
      <c r="H42" s="7" t="str">
        <f>IFERROR(INDEX('All Data'!$H$2:$H$419,MATCH(26,Engine!$X$2:$X$419,0))&amp;"","")</f>
        <v/>
      </c>
      <c r="I42" s="9" t="str">
        <f>IFERROR(INDEX('All Data'!$I$2:$I$419,MATCH(26,Engine!$X$2:$X$419,0)),"")</f>
        <v/>
      </c>
    </row>
    <row r="43" spans="1:9" x14ac:dyDescent="0.3">
      <c r="A43" s="6" t="str">
        <f>IF($B43="","",27)</f>
        <v/>
      </c>
      <c r="B43" s="7" t="str">
        <f>IFERROR(INDEX('All Data'!$B$2:$B$419,MATCH(27,Engine!$X$2:$X$419,0))&amp;"","")</f>
        <v/>
      </c>
      <c r="C43" s="7" t="str">
        <f>IFERROR(INDEX('All Data'!$C$2:$C$419,MATCH(27,Engine!$X$2:$X$419,0))&amp;"","")</f>
        <v/>
      </c>
      <c r="D43" s="8" t="str">
        <f>IFERROR(INDEX('All Data'!$D$2:$D$419,MATCH(27,Engine!$X$2:$X$419,0))&amp;"","")</f>
        <v/>
      </c>
      <c r="E43" s="7" t="str">
        <f>IFERROR(INDEX('All Data'!$E$2:$E$419,MATCH(27,Engine!$X$2:$X$419,0))&amp;"","")</f>
        <v/>
      </c>
      <c r="F43" s="7" t="str">
        <f>IFERROR(INDEX('All Data'!$F$2:$F$419,MATCH(27,Engine!$X$2:$X$419,0))&amp;"","")</f>
        <v/>
      </c>
      <c r="G43" s="7" t="str">
        <f>IFERROR(INDEX('All Data'!$G$2:$G$419,MATCH(27,Engine!$X$2:$X$419,0))&amp;"","")</f>
        <v/>
      </c>
      <c r="H43" s="7" t="str">
        <f>IFERROR(INDEX('All Data'!$H$2:$H$419,MATCH(27,Engine!$X$2:$X$419,0))&amp;"","")</f>
        <v/>
      </c>
      <c r="I43" s="9" t="str">
        <f>IFERROR(INDEX('All Data'!$I$2:$I$419,MATCH(27,Engine!$X$2:$X$419,0)),"")</f>
        <v/>
      </c>
    </row>
    <row r="44" spans="1:9" x14ac:dyDescent="0.3">
      <c r="A44" s="6" t="str">
        <f>IF($B44="","",28)</f>
        <v/>
      </c>
      <c r="B44" s="7" t="str">
        <f>IFERROR(INDEX('All Data'!$B$2:$B$419,MATCH(28,Engine!$X$2:$X$419,0))&amp;"","")</f>
        <v/>
      </c>
      <c r="C44" s="7" t="str">
        <f>IFERROR(INDEX('All Data'!$C$2:$C$419,MATCH(28,Engine!$X$2:$X$419,0))&amp;"","")</f>
        <v/>
      </c>
      <c r="D44" s="8" t="str">
        <f>IFERROR(INDEX('All Data'!$D$2:$D$419,MATCH(28,Engine!$X$2:$X$419,0))&amp;"","")</f>
        <v/>
      </c>
      <c r="E44" s="7" t="str">
        <f>IFERROR(INDEX('All Data'!$E$2:$E$419,MATCH(28,Engine!$X$2:$X$419,0))&amp;"","")</f>
        <v/>
      </c>
      <c r="F44" s="7" t="str">
        <f>IFERROR(INDEX('All Data'!$F$2:$F$419,MATCH(28,Engine!$X$2:$X$419,0))&amp;"","")</f>
        <v/>
      </c>
      <c r="G44" s="7" t="str">
        <f>IFERROR(INDEX('All Data'!$G$2:$G$419,MATCH(28,Engine!$X$2:$X$419,0))&amp;"","")</f>
        <v/>
      </c>
      <c r="H44" s="7" t="str">
        <f>IFERROR(INDEX('All Data'!$H$2:$H$419,MATCH(28,Engine!$X$2:$X$419,0))&amp;"","")</f>
        <v/>
      </c>
      <c r="I44" s="9" t="str">
        <f>IFERROR(INDEX('All Data'!$I$2:$I$419,MATCH(28,Engine!$X$2:$X$419,0)),"")</f>
        <v/>
      </c>
    </row>
    <row r="45" spans="1:9" x14ac:dyDescent="0.3">
      <c r="A45" s="6" t="str">
        <f>IF($B45="","",29)</f>
        <v/>
      </c>
      <c r="B45" s="7" t="str">
        <f>IFERROR(INDEX('All Data'!$B$2:$B$419,MATCH(29,Engine!$X$2:$X$419,0))&amp;"","")</f>
        <v/>
      </c>
      <c r="C45" s="7" t="str">
        <f>IFERROR(INDEX('All Data'!$C$2:$C$419,MATCH(29,Engine!$X$2:$X$419,0))&amp;"","")</f>
        <v/>
      </c>
      <c r="D45" s="8" t="str">
        <f>IFERROR(INDEX('All Data'!$D$2:$D$419,MATCH(29,Engine!$X$2:$X$419,0))&amp;"","")</f>
        <v/>
      </c>
      <c r="E45" s="7" t="str">
        <f>IFERROR(INDEX('All Data'!$E$2:$E$419,MATCH(29,Engine!$X$2:$X$419,0))&amp;"","")</f>
        <v/>
      </c>
      <c r="F45" s="7" t="str">
        <f>IFERROR(INDEX('All Data'!$F$2:$F$419,MATCH(29,Engine!$X$2:$X$419,0))&amp;"","")</f>
        <v/>
      </c>
      <c r="G45" s="7" t="str">
        <f>IFERROR(INDEX('All Data'!$G$2:$G$419,MATCH(29,Engine!$X$2:$X$419,0))&amp;"","")</f>
        <v/>
      </c>
      <c r="H45" s="7" t="str">
        <f>IFERROR(INDEX('All Data'!$H$2:$H$419,MATCH(29,Engine!$X$2:$X$419,0))&amp;"","")</f>
        <v/>
      </c>
      <c r="I45" s="9" t="str">
        <f>IFERROR(INDEX('All Data'!$I$2:$I$419,MATCH(29,Engine!$X$2:$X$419,0)),"")</f>
        <v/>
      </c>
    </row>
    <row r="46" spans="1:9" x14ac:dyDescent="0.3">
      <c r="A46" s="6" t="str">
        <f>IF($B46="","",30)</f>
        <v/>
      </c>
      <c r="B46" s="7" t="str">
        <f>IFERROR(INDEX('All Data'!$B$2:$B$419,MATCH(30,Engine!$X$2:$X$419,0))&amp;"","")</f>
        <v/>
      </c>
      <c r="C46" s="7" t="str">
        <f>IFERROR(INDEX('All Data'!$C$2:$C$419,MATCH(30,Engine!$X$2:$X$419,0))&amp;"","")</f>
        <v/>
      </c>
      <c r="D46" s="8" t="str">
        <f>IFERROR(INDEX('All Data'!$D$2:$D$419,MATCH(30,Engine!$X$2:$X$419,0))&amp;"","")</f>
        <v/>
      </c>
      <c r="E46" s="7" t="str">
        <f>IFERROR(INDEX('All Data'!$E$2:$E$419,MATCH(30,Engine!$X$2:$X$419,0))&amp;"","")</f>
        <v/>
      </c>
      <c r="F46" s="7" t="str">
        <f>IFERROR(INDEX('All Data'!$F$2:$F$419,MATCH(30,Engine!$X$2:$X$419,0))&amp;"","")</f>
        <v/>
      </c>
      <c r="G46" s="7" t="str">
        <f>IFERROR(INDEX('All Data'!$G$2:$G$419,MATCH(30,Engine!$X$2:$X$419,0))&amp;"","")</f>
        <v/>
      </c>
      <c r="H46" s="7" t="str">
        <f>IFERROR(INDEX('All Data'!$H$2:$H$419,MATCH(30,Engine!$X$2:$X$419,0))&amp;"","")</f>
        <v/>
      </c>
      <c r="I46" s="9" t="str">
        <f>IFERROR(INDEX('All Data'!$I$2:$I$419,MATCH(30,Engine!$X$2:$X$419,0)),"")</f>
        <v/>
      </c>
    </row>
    <row r="47" spans="1:9" x14ac:dyDescent="0.3">
      <c r="A47" s="6" t="str">
        <f>IF($B47="","",31)</f>
        <v/>
      </c>
      <c r="B47" s="7" t="str">
        <f>IFERROR(INDEX('All Data'!$B$2:$B$419,MATCH(31,Engine!$X$2:$X$419,0))&amp;"","")</f>
        <v/>
      </c>
      <c r="C47" s="7" t="str">
        <f>IFERROR(INDEX('All Data'!$C$2:$C$419,MATCH(31,Engine!$X$2:$X$419,0))&amp;"","")</f>
        <v/>
      </c>
      <c r="D47" s="8" t="str">
        <f>IFERROR(INDEX('All Data'!$D$2:$D$419,MATCH(31,Engine!$X$2:$X$419,0))&amp;"","")</f>
        <v/>
      </c>
      <c r="E47" s="7" t="str">
        <f>IFERROR(INDEX('All Data'!$E$2:$E$419,MATCH(31,Engine!$X$2:$X$419,0))&amp;"","")</f>
        <v/>
      </c>
      <c r="F47" s="7" t="str">
        <f>IFERROR(INDEX('All Data'!$F$2:$F$419,MATCH(31,Engine!$X$2:$X$419,0))&amp;"","")</f>
        <v/>
      </c>
      <c r="G47" s="7" t="str">
        <f>IFERROR(INDEX('All Data'!$G$2:$G$419,MATCH(31,Engine!$X$2:$X$419,0))&amp;"","")</f>
        <v/>
      </c>
      <c r="H47" s="7" t="str">
        <f>IFERROR(INDEX('All Data'!$H$2:$H$419,MATCH(31,Engine!$X$2:$X$419,0))&amp;"","")</f>
        <v/>
      </c>
      <c r="I47" s="9" t="str">
        <f>IFERROR(INDEX('All Data'!$I$2:$I$419,MATCH(31,Engine!$X$2:$X$419,0)),"")</f>
        <v/>
      </c>
    </row>
    <row r="48" spans="1:9" x14ac:dyDescent="0.3">
      <c r="A48" s="6" t="str">
        <f>IF($B48="","",32)</f>
        <v/>
      </c>
      <c r="B48" s="7" t="str">
        <f>IFERROR(INDEX('All Data'!$B$2:$B$419,MATCH(32,Engine!$X$2:$X$419,0))&amp;"","")</f>
        <v/>
      </c>
      <c r="C48" s="7" t="str">
        <f>IFERROR(INDEX('All Data'!$C$2:$C$419,MATCH(32,Engine!$X$2:$X$419,0))&amp;"","")</f>
        <v/>
      </c>
      <c r="D48" s="8" t="str">
        <f>IFERROR(INDEX('All Data'!$D$2:$D$419,MATCH(32,Engine!$X$2:$X$419,0))&amp;"","")</f>
        <v/>
      </c>
      <c r="E48" s="7" t="str">
        <f>IFERROR(INDEX('All Data'!$E$2:$E$419,MATCH(32,Engine!$X$2:$X$419,0))&amp;"","")</f>
        <v/>
      </c>
      <c r="F48" s="7" t="str">
        <f>IFERROR(INDEX('All Data'!$F$2:$F$419,MATCH(32,Engine!$X$2:$X$419,0))&amp;"","")</f>
        <v/>
      </c>
      <c r="G48" s="7" t="str">
        <f>IFERROR(INDEX('All Data'!$G$2:$G$419,MATCH(32,Engine!$X$2:$X$419,0))&amp;"","")</f>
        <v/>
      </c>
      <c r="H48" s="7" t="str">
        <f>IFERROR(INDEX('All Data'!$H$2:$H$419,MATCH(32,Engine!$X$2:$X$419,0))&amp;"","")</f>
        <v/>
      </c>
      <c r="I48" s="9" t="str">
        <f>IFERROR(INDEX('All Data'!$I$2:$I$419,MATCH(32,Engine!$X$2:$X$419,0)),"")</f>
        <v/>
      </c>
    </row>
    <row r="49" spans="1:9" x14ac:dyDescent="0.3">
      <c r="A49" s="6" t="str">
        <f>IF($B49="","",33)</f>
        <v/>
      </c>
      <c r="B49" s="7" t="str">
        <f>IFERROR(INDEX('All Data'!$B$2:$B$419,MATCH(33,Engine!$X$2:$X$419,0))&amp;"","")</f>
        <v/>
      </c>
      <c r="C49" s="7" t="str">
        <f>IFERROR(INDEX('All Data'!$C$2:$C$419,MATCH(33,Engine!$X$2:$X$419,0))&amp;"","")</f>
        <v/>
      </c>
      <c r="D49" s="8" t="str">
        <f>IFERROR(INDEX('All Data'!$D$2:$D$419,MATCH(33,Engine!$X$2:$X$419,0))&amp;"","")</f>
        <v/>
      </c>
      <c r="E49" s="7" t="str">
        <f>IFERROR(INDEX('All Data'!$E$2:$E$419,MATCH(33,Engine!$X$2:$X$419,0))&amp;"","")</f>
        <v/>
      </c>
      <c r="F49" s="7" t="str">
        <f>IFERROR(INDEX('All Data'!$F$2:$F$419,MATCH(33,Engine!$X$2:$X$419,0))&amp;"","")</f>
        <v/>
      </c>
      <c r="G49" s="7" t="str">
        <f>IFERROR(INDEX('All Data'!$G$2:$G$419,MATCH(33,Engine!$X$2:$X$419,0))&amp;"","")</f>
        <v/>
      </c>
      <c r="H49" s="7" t="str">
        <f>IFERROR(INDEX('All Data'!$H$2:$H$419,MATCH(33,Engine!$X$2:$X$419,0))&amp;"","")</f>
        <v/>
      </c>
      <c r="I49" s="9" t="str">
        <f>IFERROR(INDEX('All Data'!$I$2:$I$419,MATCH(33,Engine!$X$2:$X$419,0)),"")</f>
        <v/>
      </c>
    </row>
    <row r="50" spans="1:9" x14ac:dyDescent="0.3">
      <c r="A50" s="6" t="str">
        <f>IF($B50="","",34)</f>
        <v/>
      </c>
      <c r="B50" s="7" t="str">
        <f>IFERROR(INDEX('All Data'!$B$2:$B$419,MATCH(34,Engine!$X$2:$X$419,0))&amp;"","")</f>
        <v/>
      </c>
      <c r="C50" s="7" t="str">
        <f>IFERROR(INDEX('All Data'!$C$2:$C$419,MATCH(34,Engine!$X$2:$X$419,0))&amp;"","")</f>
        <v/>
      </c>
      <c r="D50" s="8" t="str">
        <f>IFERROR(INDEX('All Data'!$D$2:$D$419,MATCH(34,Engine!$X$2:$X$419,0))&amp;"","")</f>
        <v/>
      </c>
      <c r="E50" s="7" t="str">
        <f>IFERROR(INDEX('All Data'!$E$2:$E$419,MATCH(34,Engine!$X$2:$X$419,0))&amp;"","")</f>
        <v/>
      </c>
      <c r="F50" s="7" t="str">
        <f>IFERROR(INDEX('All Data'!$F$2:$F$419,MATCH(34,Engine!$X$2:$X$419,0))&amp;"","")</f>
        <v/>
      </c>
      <c r="G50" s="7" t="str">
        <f>IFERROR(INDEX('All Data'!$G$2:$G$419,MATCH(34,Engine!$X$2:$X$419,0))&amp;"","")</f>
        <v/>
      </c>
      <c r="H50" s="7" t="str">
        <f>IFERROR(INDEX('All Data'!$H$2:$H$419,MATCH(34,Engine!$X$2:$X$419,0))&amp;"","")</f>
        <v/>
      </c>
      <c r="I50" s="9" t="str">
        <f>IFERROR(INDEX('All Data'!$I$2:$I$419,MATCH(34,Engine!$X$2:$X$419,0)),"")</f>
        <v/>
      </c>
    </row>
    <row r="51" spans="1:9" x14ac:dyDescent="0.3">
      <c r="A51" s="6" t="str">
        <f>IF($B51="","",35)</f>
        <v/>
      </c>
      <c r="B51" s="7" t="str">
        <f>IFERROR(INDEX('All Data'!$B$2:$B$419,MATCH(35,Engine!$X$2:$X$419,0))&amp;"","")</f>
        <v/>
      </c>
      <c r="C51" s="7" t="str">
        <f>IFERROR(INDEX('All Data'!$C$2:$C$419,MATCH(35,Engine!$X$2:$X$419,0))&amp;"","")</f>
        <v/>
      </c>
      <c r="D51" s="8" t="str">
        <f>IFERROR(INDEX('All Data'!$D$2:$D$419,MATCH(35,Engine!$X$2:$X$419,0))&amp;"","")</f>
        <v/>
      </c>
      <c r="E51" s="7" t="str">
        <f>IFERROR(INDEX('All Data'!$E$2:$E$419,MATCH(35,Engine!$X$2:$X$419,0))&amp;"","")</f>
        <v/>
      </c>
      <c r="F51" s="7" t="str">
        <f>IFERROR(INDEX('All Data'!$F$2:$F$419,MATCH(35,Engine!$X$2:$X$419,0))&amp;"","")</f>
        <v/>
      </c>
      <c r="G51" s="7" t="str">
        <f>IFERROR(INDEX('All Data'!$G$2:$G$419,MATCH(35,Engine!$X$2:$X$419,0))&amp;"","")</f>
        <v/>
      </c>
      <c r="H51" s="7" t="str">
        <f>IFERROR(INDEX('All Data'!$H$2:$H$419,MATCH(35,Engine!$X$2:$X$419,0))&amp;"","")</f>
        <v/>
      </c>
      <c r="I51" s="9" t="str">
        <f>IFERROR(INDEX('All Data'!$I$2:$I$419,MATCH(35,Engine!$X$2:$X$419,0)),"")</f>
        <v/>
      </c>
    </row>
    <row r="52" spans="1:9" x14ac:dyDescent="0.3">
      <c r="A52" s="6" t="str">
        <f>IF($B52="","",36)</f>
        <v/>
      </c>
      <c r="B52" s="7" t="str">
        <f>IFERROR(INDEX('All Data'!$B$2:$B$419,MATCH(36,Engine!$X$2:$X$419,0))&amp;"","")</f>
        <v/>
      </c>
      <c r="C52" s="7" t="str">
        <f>IFERROR(INDEX('All Data'!$C$2:$C$419,MATCH(36,Engine!$X$2:$X$419,0))&amp;"","")</f>
        <v/>
      </c>
      <c r="D52" s="8" t="str">
        <f>IFERROR(INDEX('All Data'!$D$2:$D$419,MATCH(36,Engine!$X$2:$X$419,0))&amp;"","")</f>
        <v/>
      </c>
      <c r="E52" s="7" t="str">
        <f>IFERROR(INDEX('All Data'!$E$2:$E$419,MATCH(36,Engine!$X$2:$X$419,0))&amp;"","")</f>
        <v/>
      </c>
      <c r="F52" s="7" t="str">
        <f>IFERROR(INDEX('All Data'!$F$2:$F$419,MATCH(36,Engine!$X$2:$X$419,0))&amp;"","")</f>
        <v/>
      </c>
      <c r="G52" s="7" t="str">
        <f>IFERROR(INDEX('All Data'!$G$2:$G$419,MATCH(36,Engine!$X$2:$X$419,0))&amp;"","")</f>
        <v/>
      </c>
      <c r="H52" s="7" t="str">
        <f>IFERROR(INDEX('All Data'!$H$2:$H$419,MATCH(36,Engine!$X$2:$X$419,0))&amp;"","")</f>
        <v/>
      </c>
      <c r="I52" s="9" t="str">
        <f>IFERROR(INDEX('All Data'!$I$2:$I$419,MATCH(36,Engine!$X$2:$X$419,0)),"")</f>
        <v/>
      </c>
    </row>
    <row r="53" spans="1:9" x14ac:dyDescent="0.3">
      <c r="A53" s="6" t="str">
        <f>IF($B53="","",37)</f>
        <v/>
      </c>
      <c r="B53" s="7" t="str">
        <f>IFERROR(INDEX('All Data'!$B$2:$B$419,MATCH(37,Engine!$X$2:$X$419,0))&amp;"","")</f>
        <v/>
      </c>
      <c r="C53" s="7" t="str">
        <f>IFERROR(INDEX('All Data'!$C$2:$C$419,MATCH(37,Engine!$X$2:$X$419,0))&amp;"","")</f>
        <v/>
      </c>
      <c r="D53" s="8" t="str">
        <f>IFERROR(INDEX('All Data'!$D$2:$D$419,MATCH(37,Engine!$X$2:$X$419,0))&amp;"","")</f>
        <v/>
      </c>
      <c r="E53" s="7" t="str">
        <f>IFERROR(INDEX('All Data'!$E$2:$E$419,MATCH(37,Engine!$X$2:$X$419,0))&amp;"","")</f>
        <v/>
      </c>
      <c r="F53" s="7" t="str">
        <f>IFERROR(INDEX('All Data'!$F$2:$F$419,MATCH(37,Engine!$X$2:$X$419,0))&amp;"","")</f>
        <v/>
      </c>
      <c r="G53" s="7" t="str">
        <f>IFERROR(INDEX('All Data'!$G$2:$G$419,MATCH(37,Engine!$X$2:$X$419,0))&amp;"","")</f>
        <v/>
      </c>
      <c r="H53" s="7" t="str">
        <f>IFERROR(INDEX('All Data'!$H$2:$H$419,MATCH(37,Engine!$X$2:$X$419,0))&amp;"","")</f>
        <v/>
      </c>
      <c r="I53" s="9" t="str">
        <f>IFERROR(INDEX('All Data'!$I$2:$I$419,MATCH(37,Engine!$X$2:$X$419,0)),"")</f>
        <v/>
      </c>
    </row>
    <row r="54" spans="1:9" x14ac:dyDescent="0.3">
      <c r="A54" s="6" t="str">
        <f>IF($B54="","",38)</f>
        <v/>
      </c>
      <c r="B54" s="7" t="str">
        <f>IFERROR(INDEX('All Data'!$B$2:$B$419,MATCH(38,Engine!$X$2:$X$419,0))&amp;"","")</f>
        <v/>
      </c>
      <c r="C54" s="7" t="str">
        <f>IFERROR(INDEX('All Data'!$C$2:$C$419,MATCH(38,Engine!$X$2:$X$419,0))&amp;"","")</f>
        <v/>
      </c>
      <c r="D54" s="8" t="str">
        <f>IFERROR(INDEX('All Data'!$D$2:$D$419,MATCH(38,Engine!$X$2:$X$419,0))&amp;"","")</f>
        <v/>
      </c>
      <c r="E54" s="7" t="str">
        <f>IFERROR(INDEX('All Data'!$E$2:$E$419,MATCH(38,Engine!$X$2:$X$419,0))&amp;"","")</f>
        <v/>
      </c>
      <c r="F54" s="7" t="str">
        <f>IFERROR(INDEX('All Data'!$F$2:$F$419,MATCH(38,Engine!$X$2:$X$419,0))&amp;"","")</f>
        <v/>
      </c>
      <c r="G54" s="7" t="str">
        <f>IFERROR(INDEX('All Data'!$G$2:$G$419,MATCH(38,Engine!$X$2:$X$419,0))&amp;"","")</f>
        <v/>
      </c>
      <c r="H54" s="7" t="str">
        <f>IFERROR(INDEX('All Data'!$H$2:$H$419,MATCH(38,Engine!$X$2:$X$419,0))&amp;"","")</f>
        <v/>
      </c>
      <c r="I54" s="9" t="str">
        <f>IFERROR(INDEX('All Data'!$I$2:$I$419,MATCH(38,Engine!$X$2:$X$419,0)),"")</f>
        <v/>
      </c>
    </row>
    <row r="55" spans="1:9" x14ac:dyDescent="0.3">
      <c r="A55" s="6" t="str">
        <f>IF($B55="","",39)</f>
        <v/>
      </c>
      <c r="B55" s="7" t="str">
        <f>IFERROR(INDEX('All Data'!$B$2:$B$419,MATCH(39,Engine!$X$2:$X$419,0))&amp;"","")</f>
        <v/>
      </c>
      <c r="C55" s="7" t="str">
        <f>IFERROR(INDEX('All Data'!$C$2:$C$419,MATCH(39,Engine!$X$2:$X$419,0))&amp;"","")</f>
        <v/>
      </c>
      <c r="D55" s="8" t="str">
        <f>IFERROR(INDEX('All Data'!$D$2:$D$419,MATCH(39,Engine!$X$2:$X$419,0))&amp;"","")</f>
        <v/>
      </c>
      <c r="E55" s="7" t="str">
        <f>IFERROR(INDEX('All Data'!$E$2:$E$419,MATCH(39,Engine!$X$2:$X$419,0))&amp;"","")</f>
        <v/>
      </c>
      <c r="F55" s="7" t="str">
        <f>IFERROR(INDEX('All Data'!$F$2:$F$419,MATCH(39,Engine!$X$2:$X$419,0))&amp;"","")</f>
        <v/>
      </c>
      <c r="G55" s="7" t="str">
        <f>IFERROR(INDEX('All Data'!$G$2:$G$419,MATCH(39,Engine!$X$2:$X$419,0))&amp;"","")</f>
        <v/>
      </c>
      <c r="H55" s="7" t="str">
        <f>IFERROR(INDEX('All Data'!$H$2:$H$419,MATCH(39,Engine!$X$2:$X$419,0))&amp;"","")</f>
        <v/>
      </c>
      <c r="I55" s="9" t="str">
        <f>IFERROR(INDEX('All Data'!$I$2:$I$419,MATCH(39,Engine!$X$2:$X$419,0)),"")</f>
        <v/>
      </c>
    </row>
    <row r="56" spans="1:9" x14ac:dyDescent="0.3">
      <c r="A56" s="6" t="str">
        <f>IF($B56="","",40)</f>
        <v/>
      </c>
      <c r="B56" s="7" t="str">
        <f>IFERROR(INDEX('All Data'!$B$2:$B$419,MATCH(40,Engine!$X$2:$X$419,0))&amp;"","")</f>
        <v/>
      </c>
      <c r="C56" s="7" t="str">
        <f>IFERROR(INDEX('All Data'!$C$2:$C$419,MATCH(40,Engine!$X$2:$X$419,0))&amp;"","")</f>
        <v/>
      </c>
      <c r="D56" s="8" t="str">
        <f>IFERROR(INDEX('All Data'!$D$2:$D$419,MATCH(40,Engine!$X$2:$X$419,0))&amp;"","")</f>
        <v/>
      </c>
      <c r="E56" s="7" t="str">
        <f>IFERROR(INDEX('All Data'!$E$2:$E$419,MATCH(40,Engine!$X$2:$X$419,0))&amp;"","")</f>
        <v/>
      </c>
      <c r="F56" s="7" t="str">
        <f>IFERROR(INDEX('All Data'!$F$2:$F$419,MATCH(40,Engine!$X$2:$X$419,0))&amp;"","")</f>
        <v/>
      </c>
      <c r="G56" s="7" t="str">
        <f>IFERROR(INDEX('All Data'!$G$2:$G$419,MATCH(40,Engine!$X$2:$X$419,0))&amp;"","")</f>
        <v/>
      </c>
      <c r="H56" s="7" t="str">
        <f>IFERROR(INDEX('All Data'!$H$2:$H$419,MATCH(40,Engine!$X$2:$X$419,0))&amp;"","")</f>
        <v/>
      </c>
      <c r="I56" s="9" t="str">
        <f>IFERROR(INDEX('All Data'!$I$2:$I$419,MATCH(40,Engine!$X$2:$X$419,0)),"")</f>
        <v/>
      </c>
    </row>
    <row r="57" spans="1:9" x14ac:dyDescent="0.3">
      <c r="A57" s="6" t="str">
        <f>IF($B57="","",41)</f>
        <v/>
      </c>
      <c r="B57" s="7" t="str">
        <f>IFERROR(INDEX('All Data'!$B$2:$B$419,MATCH(41,Engine!$X$2:$X$419,0))&amp;"","")</f>
        <v/>
      </c>
      <c r="C57" s="7" t="str">
        <f>IFERROR(INDEX('All Data'!$C$2:$C$419,MATCH(41,Engine!$X$2:$X$419,0))&amp;"","")</f>
        <v/>
      </c>
      <c r="D57" s="8" t="str">
        <f>IFERROR(INDEX('All Data'!$D$2:$D$419,MATCH(41,Engine!$X$2:$X$419,0))&amp;"","")</f>
        <v/>
      </c>
      <c r="E57" s="7" t="str">
        <f>IFERROR(INDEX('All Data'!$E$2:$E$419,MATCH(41,Engine!$X$2:$X$419,0))&amp;"","")</f>
        <v/>
      </c>
      <c r="F57" s="7" t="str">
        <f>IFERROR(INDEX('All Data'!$F$2:$F$419,MATCH(41,Engine!$X$2:$X$419,0))&amp;"","")</f>
        <v/>
      </c>
      <c r="G57" s="7" t="str">
        <f>IFERROR(INDEX('All Data'!$G$2:$G$419,MATCH(41,Engine!$X$2:$X$419,0))&amp;"","")</f>
        <v/>
      </c>
      <c r="H57" s="7" t="str">
        <f>IFERROR(INDEX('All Data'!$H$2:$H$419,MATCH(41,Engine!$X$2:$X$419,0))&amp;"","")</f>
        <v/>
      </c>
      <c r="I57" s="9" t="str">
        <f>IFERROR(INDEX('All Data'!$I$2:$I$419,MATCH(41,Engine!$X$2:$X$419,0)),"")</f>
        <v/>
      </c>
    </row>
    <row r="58" spans="1:9" x14ac:dyDescent="0.3">
      <c r="A58" s="6" t="str">
        <f>IF($B58="","",42)</f>
        <v/>
      </c>
      <c r="B58" s="7" t="str">
        <f>IFERROR(INDEX('All Data'!$B$2:$B$419,MATCH(42,Engine!$X$2:$X$419,0))&amp;"","")</f>
        <v/>
      </c>
      <c r="C58" s="7" t="str">
        <f>IFERROR(INDEX('All Data'!$C$2:$C$419,MATCH(42,Engine!$X$2:$X$419,0))&amp;"","")</f>
        <v/>
      </c>
      <c r="D58" s="8" t="str">
        <f>IFERROR(INDEX('All Data'!$D$2:$D$419,MATCH(42,Engine!$X$2:$X$419,0))&amp;"","")</f>
        <v/>
      </c>
      <c r="E58" s="7" t="str">
        <f>IFERROR(INDEX('All Data'!$E$2:$E$419,MATCH(42,Engine!$X$2:$X$419,0))&amp;"","")</f>
        <v/>
      </c>
      <c r="F58" s="7" t="str">
        <f>IFERROR(INDEX('All Data'!$F$2:$F$419,MATCH(42,Engine!$X$2:$X$419,0))&amp;"","")</f>
        <v/>
      </c>
      <c r="G58" s="7" t="str">
        <f>IFERROR(INDEX('All Data'!$G$2:$G$419,MATCH(42,Engine!$X$2:$X$419,0))&amp;"","")</f>
        <v/>
      </c>
      <c r="H58" s="7" t="str">
        <f>IFERROR(INDEX('All Data'!$H$2:$H$419,MATCH(42,Engine!$X$2:$X$419,0))&amp;"","")</f>
        <v/>
      </c>
      <c r="I58" s="9" t="str">
        <f>IFERROR(INDEX('All Data'!$I$2:$I$419,MATCH(42,Engine!$X$2:$X$419,0)),"")</f>
        <v/>
      </c>
    </row>
    <row r="59" spans="1:9" x14ac:dyDescent="0.3">
      <c r="A59" s="6" t="str">
        <f>IF($B59="","",43)</f>
        <v/>
      </c>
      <c r="B59" s="7" t="str">
        <f>IFERROR(INDEX('All Data'!$B$2:$B$419,MATCH(43,Engine!$X$2:$X$419,0))&amp;"","")</f>
        <v/>
      </c>
      <c r="C59" s="7" t="str">
        <f>IFERROR(INDEX('All Data'!$C$2:$C$419,MATCH(43,Engine!$X$2:$X$419,0))&amp;"","")</f>
        <v/>
      </c>
      <c r="D59" s="8" t="str">
        <f>IFERROR(INDEX('All Data'!$D$2:$D$419,MATCH(43,Engine!$X$2:$X$419,0))&amp;"","")</f>
        <v/>
      </c>
      <c r="E59" s="7" t="str">
        <f>IFERROR(INDEX('All Data'!$E$2:$E$419,MATCH(43,Engine!$X$2:$X$419,0))&amp;"","")</f>
        <v/>
      </c>
      <c r="F59" s="7" t="str">
        <f>IFERROR(INDEX('All Data'!$F$2:$F$419,MATCH(43,Engine!$X$2:$X$419,0))&amp;"","")</f>
        <v/>
      </c>
      <c r="G59" s="7" t="str">
        <f>IFERROR(INDEX('All Data'!$G$2:$G$419,MATCH(43,Engine!$X$2:$X$419,0))&amp;"","")</f>
        <v/>
      </c>
      <c r="H59" s="7" t="str">
        <f>IFERROR(INDEX('All Data'!$H$2:$H$419,MATCH(43,Engine!$X$2:$X$419,0))&amp;"","")</f>
        <v/>
      </c>
      <c r="I59" s="9" t="str">
        <f>IFERROR(INDEX('All Data'!$I$2:$I$419,MATCH(43,Engine!$X$2:$X$419,0)),"")</f>
        <v/>
      </c>
    </row>
    <row r="60" spans="1:9" x14ac:dyDescent="0.3">
      <c r="A60" s="6" t="str">
        <f>IF($B60="","",44)</f>
        <v/>
      </c>
      <c r="B60" s="7" t="str">
        <f>IFERROR(INDEX('All Data'!$B$2:$B$419,MATCH(44,Engine!$X$2:$X$419,0))&amp;"","")</f>
        <v/>
      </c>
      <c r="C60" s="7" t="str">
        <f>IFERROR(INDEX('All Data'!$C$2:$C$419,MATCH(44,Engine!$X$2:$X$419,0))&amp;"","")</f>
        <v/>
      </c>
      <c r="D60" s="8" t="str">
        <f>IFERROR(INDEX('All Data'!$D$2:$D$419,MATCH(44,Engine!$X$2:$X$419,0))&amp;"","")</f>
        <v/>
      </c>
      <c r="E60" s="7" t="str">
        <f>IFERROR(INDEX('All Data'!$E$2:$E$419,MATCH(44,Engine!$X$2:$X$419,0))&amp;"","")</f>
        <v/>
      </c>
      <c r="F60" s="7" t="str">
        <f>IFERROR(INDEX('All Data'!$F$2:$F$419,MATCH(44,Engine!$X$2:$X$419,0))&amp;"","")</f>
        <v/>
      </c>
      <c r="G60" s="7" t="str">
        <f>IFERROR(INDEX('All Data'!$G$2:$G$419,MATCH(44,Engine!$X$2:$X$419,0))&amp;"","")</f>
        <v/>
      </c>
      <c r="H60" s="7" t="str">
        <f>IFERROR(INDEX('All Data'!$H$2:$H$419,MATCH(44,Engine!$X$2:$X$419,0))&amp;"","")</f>
        <v/>
      </c>
      <c r="I60" s="9" t="str">
        <f>IFERROR(INDEX('All Data'!$I$2:$I$419,MATCH(44,Engine!$X$2:$X$419,0)),"")</f>
        <v/>
      </c>
    </row>
    <row r="61" spans="1:9" x14ac:dyDescent="0.3">
      <c r="A61" s="6" t="str">
        <f>IF($B61="","",45)</f>
        <v/>
      </c>
      <c r="B61" s="7" t="str">
        <f>IFERROR(INDEX('All Data'!$B$2:$B$419,MATCH(45,Engine!$X$2:$X$419,0))&amp;"","")</f>
        <v/>
      </c>
      <c r="C61" s="7" t="str">
        <f>IFERROR(INDEX('All Data'!$C$2:$C$419,MATCH(45,Engine!$X$2:$X$419,0))&amp;"","")</f>
        <v/>
      </c>
      <c r="D61" s="8" t="str">
        <f>IFERROR(INDEX('All Data'!$D$2:$D$419,MATCH(45,Engine!$X$2:$X$419,0))&amp;"","")</f>
        <v/>
      </c>
      <c r="E61" s="7" t="str">
        <f>IFERROR(INDEX('All Data'!$E$2:$E$419,MATCH(45,Engine!$X$2:$X$419,0))&amp;"","")</f>
        <v/>
      </c>
      <c r="F61" s="7" t="str">
        <f>IFERROR(INDEX('All Data'!$F$2:$F$419,MATCH(45,Engine!$X$2:$X$419,0))&amp;"","")</f>
        <v/>
      </c>
      <c r="G61" s="7" t="str">
        <f>IFERROR(INDEX('All Data'!$G$2:$G$419,MATCH(45,Engine!$X$2:$X$419,0))&amp;"","")</f>
        <v/>
      </c>
      <c r="H61" s="7" t="str">
        <f>IFERROR(INDEX('All Data'!$H$2:$H$419,MATCH(45,Engine!$X$2:$X$419,0))&amp;"","")</f>
        <v/>
      </c>
      <c r="I61" s="9" t="str">
        <f>IFERROR(INDEX('All Data'!$I$2:$I$419,MATCH(45,Engine!$X$2:$X$419,0)),"")</f>
        <v/>
      </c>
    </row>
    <row r="62" spans="1:9" x14ac:dyDescent="0.3">
      <c r="A62" s="6" t="str">
        <f>IF($B62="","",46)</f>
        <v/>
      </c>
      <c r="B62" s="7" t="str">
        <f>IFERROR(INDEX('All Data'!$B$2:$B$419,MATCH(46,Engine!$X$2:$X$419,0))&amp;"","")</f>
        <v/>
      </c>
      <c r="C62" s="7" t="str">
        <f>IFERROR(INDEX('All Data'!$C$2:$C$419,MATCH(46,Engine!$X$2:$X$419,0))&amp;"","")</f>
        <v/>
      </c>
      <c r="D62" s="8" t="str">
        <f>IFERROR(INDEX('All Data'!$D$2:$D$419,MATCH(46,Engine!$X$2:$X$419,0))&amp;"","")</f>
        <v/>
      </c>
      <c r="E62" s="7" t="str">
        <f>IFERROR(INDEX('All Data'!$E$2:$E$419,MATCH(46,Engine!$X$2:$X$419,0))&amp;"","")</f>
        <v/>
      </c>
      <c r="F62" s="7" t="str">
        <f>IFERROR(INDEX('All Data'!$F$2:$F$419,MATCH(46,Engine!$X$2:$X$419,0))&amp;"","")</f>
        <v/>
      </c>
      <c r="G62" s="7" t="str">
        <f>IFERROR(INDEX('All Data'!$G$2:$G$419,MATCH(46,Engine!$X$2:$X$419,0))&amp;"","")</f>
        <v/>
      </c>
      <c r="H62" s="7" t="str">
        <f>IFERROR(INDEX('All Data'!$H$2:$H$419,MATCH(46,Engine!$X$2:$X$419,0))&amp;"","")</f>
        <v/>
      </c>
      <c r="I62" s="9" t="str">
        <f>IFERROR(INDEX('All Data'!$I$2:$I$419,MATCH(46,Engine!$X$2:$X$419,0)),"")</f>
        <v/>
      </c>
    </row>
    <row r="63" spans="1:9" x14ac:dyDescent="0.3">
      <c r="A63" s="6" t="str">
        <f>IF($B63="","",47)</f>
        <v/>
      </c>
      <c r="B63" s="7" t="str">
        <f>IFERROR(INDEX('All Data'!$B$2:$B$419,MATCH(47,Engine!$X$2:$X$419,0))&amp;"","")</f>
        <v/>
      </c>
      <c r="C63" s="7" t="str">
        <f>IFERROR(INDEX('All Data'!$C$2:$C$419,MATCH(47,Engine!$X$2:$X$419,0))&amp;"","")</f>
        <v/>
      </c>
      <c r="D63" s="8" t="str">
        <f>IFERROR(INDEX('All Data'!$D$2:$D$419,MATCH(47,Engine!$X$2:$X$419,0))&amp;"","")</f>
        <v/>
      </c>
      <c r="E63" s="7" t="str">
        <f>IFERROR(INDEX('All Data'!$E$2:$E$419,MATCH(47,Engine!$X$2:$X$419,0))&amp;"","")</f>
        <v/>
      </c>
      <c r="F63" s="7" t="str">
        <f>IFERROR(INDEX('All Data'!$F$2:$F$419,MATCH(47,Engine!$X$2:$X$419,0))&amp;"","")</f>
        <v/>
      </c>
      <c r="G63" s="7" t="str">
        <f>IFERROR(INDEX('All Data'!$G$2:$G$419,MATCH(47,Engine!$X$2:$X$419,0))&amp;"","")</f>
        <v/>
      </c>
      <c r="H63" s="7" t="str">
        <f>IFERROR(INDEX('All Data'!$H$2:$H$419,MATCH(47,Engine!$X$2:$X$419,0))&amp;"","")</f>
        <v/>
      </c>
      <c r="I63" s="9" t="str">
        <f>IFERROR(INDEX('All Data'!$I$2:$I$419,MATCH(47,Engine!$X$2:$X$419,0)),"")</f>
        <v/>
      </c>
    </row>
    <row r="64" spans="1:9" x14ac:dyDescent="0.3">
      <c r="A64" s="6" t="str">
        <f>IF($B64="","",48)</f>
        <v/>
      </c>
      <c r="B64" s="7" t="str">
        <f>IFERROR(INDEX('All Data'!$B$2:$B$419,MATCH(48,Engine!$X$2:$X$419,0))&amp;"","")</f>
        <v/>
      </c>
      <c r="C64" s="7" t="str">
        <f>IFERROR(INDEX('All Data'!$C$2:$C$419,MATCH(48,Engine!$X$2:$X$419,0))&amp;"","")</f>
        <v/>
      </c>
      <c r="D64" s="8" t="str">
        <f>IFERROR(INDEX('All Data'!$D$2:$D$419,MATCH(48,Engine!$X$2:$X$419,0))&amp;"","")</f>
        <v/>
      </c>
      <c r="E64" s="7" t="str">
        <f>IFERROR(INDEX('All Data'!$E$2:$E$419,MATCH(48,Engine!$X$2:$X$419,0))&amp;"","")</f>
        <v/>
      </c>
      <c r="F64" s="7" t="str">
        <f>IFERROR(INDEX('All Data'!$F$2:$F$419,MATCH(48,Engine!$X$2:$X$419,0))&amp;"","")</f>
        <v/>
      </c>
      <c r="G64" s="7" t="str">
        <f>IFERROR(INDEX('All Data'!$G$2:$G$419,MATCH(48,Engine!$X$2:$X$419,0))&amp;"","")</f>
        <v/>
      </c>
      <c r="H64" s="7" t="str">
        <f>IFERROR(INDEX('All Data'!$H$2:$H$419,MATCH(48,Engine!$X$2:$X$419,0))&amp;"","")</f>
        <v/>
      </c>
      <c r="I64" s="9" t="str">
        <f>IFERROR(INDEX('All Data'!$I$2:$I$419,MATCH(48,Engine!$X$2:$X$419,0)),"")</f>
        <v/>
      </c>
    </row>
    <row r="65" spans="1:9" x14ac:dyDescent="0.3">
      <c r="A65" s="6" t="str">
        <f>IF($B65="","",49)</f>
        <v/>
      </c>
      <c r="B65" s="7" t="str">
        <f>IFERROR(INDEX('All Data'!$B$2:$B$419,MATCH(49,Engine!$X$2:$X$419,0))&amp;"","")</f>
        <v/>
      </c>
      <c r="C65" s="7" t="str">
        <f>IFERROR(INDEX('All Data'!$C$2:$C$419,MATCH(49,Engine!$X$2:$X$419,0))&amp;"","")</f>
        <v/>
      </c>
      <c r="D65" s="8" t="str">
        <f>IFERROR(INDEX('All Data'!$D$2:$D$419,MATCH(49,Engine!$X$2:$X$419,0))&amp;"","")</f>
        <v/>
      </c>
      <c r="E65" s="7" t="str">
        <f>IFERROR(INDEX('All Data'!$E$2:$E$419,MATCH(49,Engine!$X$2:$X$419,0))&amp;"","")</f>
        <v/>
      </c>
      <c r="F65" s="7" t="str">
        <f>IFERROR(INDEX('All Data'!$F$2:$F$419,MATCH(49,Engine!$X$2:$X$419,0))&amp;"","")</f>
        <v/>
      </c>
      <c r="G65" s="7" t="str">
        <f>IFERROR(INDEX('All Data'!$G$2:$G$419,MATCH(49,Engine!$X$2:$X$419,0))&amp;"","")</f>
        <v/>
      </c>
      <c r="H65" s="7" t="str">
        <f>IFERROR(INDEX('All Data'!$H$2:$H$419,MATCH(49,Engine!$X$2:$X$419,0))&amp;"","")</f>
        <v/>
      </c>
      <c r="I65" s="9" t="str">
        <f>IFERROR(INDEX('All Data'!$I$2:$I$419,MATCH(49,Engine!$X$2:$X$419,0)),"")</f>
        <v/>
      </c>
    </row>
    <row r="66" spans="1:9" x14ac:dyDescent="0.3">
      <c r="A66" s="6" t="str">
        <f>IF($B66="","",50)</f>
        <v/>
      </c>
      <c r="B66" s="7" t="str">
        <f>IFERROR(INDEX('All Data'!$B$2:$B$419,MATCH(50,Engine!$X$2:$X$419,0))&amp;"","")</f>
        <v/>
      </c>
      <c r="C66" s="7" t="str">
        <f>IFERROR(INDEX('All Data'!$C$2:$C$419,MATCH(50,Engine!$X$2:$X$419,0))&amp;"","")</f>
        <v/>
      </c>
      <c r="D66" s="8" t="str">
        <f>IFERROR(INDEX('All Data'!$D$2:$D$419,MATCH(50,Engine!$X$2:$X$419,0))&amp;"","")</f>
        <v/>
      </c>
      <c r="E66" s="7" t="str">
        <f>IFERROR(INDEX('All Data'!$E$2:$E$419,MATCH(50,Engine!$X$2:$X$419,0))&amp;"","")</f>
        <v/>
      </c>
      <c r="F66" s="7" t="str">
        <f>IFERROR(INDEX('All Data'!$F$2:$F$419,MATCH(50,Engine!$X$2:$X$419,0))&amp;"","")</f>
        <v/>
      </c>
      <c r="G66" s="7" t="str">
        <f>IFERROR(INDEX('All Data'!$G$2:$G$419,MATCH(50,Engine!$X$2:$X$419,0))&amp;"","")</f>
        <v/>
      </c>
      <c r="H66" s="7" t="str">
        <f>IFERROR(INDEX('All Data'!$H$2:$H$419,MATCH(50,Engine!$X$2:$X$419,0))&amp;"","")</f>
        <v/>
      </c>
      <c r="I66" s="9" t="str">
        <f>IFERROR(INDEX('All Data'!$I$2:$I$419,MATCH(50,Engine!$X$2:$X$419,0)),"")</f>
        <v/>
      </c>
    </row>
    <row r="67" spans="1:9" x14ac:dyDescent="0.3">
      <c r="A67" s="6" t="str">
        <f>IF($B67="","",51)</f>
        <v/>
      </c>
      <c r="B67" s="7" t="str">
        <f>IFERROR(INDEX('All Data'!$B$2:$B$419,MATCH(51,Engine!$X$2:$X$419,0))&amp;"","")</f>
        <v/>
      </c>
      <c r="C67" s="7" t="str">
        <f>IFERROR(INDEX('All Data'!$C$2:$C$419,MATCH(51,Engine!$X$2:$X$419,0))&amp;"","")</f>
        <v/>
      </c>
      <c r="D67" s="8" t="str">
        <f>IFERROR(INDEX('All Data'!$D$2:$D$419,MATCH(51,Engine!$X$2:$X$419,0))&amp;"","")</f>
        <v/>
      </c>
      <c r="E67" s="7" t="str">
        <f>IFERROR(INDEX('All Data'!$E$2:$E$419,MATCH(51,Engine!$X$2:$X$419,0))&amp;"","")</f>
        <v/>
      </c>
      <c r="F67" s="7" t="str">
        <f>IFERROR(INDEX('All Data'!$F$2:$F$419,MATCH(51,Engine!$X$2:$X$419,0))&amp;"","")</f>
        <v/>
      </c>
      <c r="G67" s="7" t="str">
        <f>IFERROR(INDEX('All Data'!$G$2:$G$419,MATCH(51,Engine!$X$2:$X$419,0))&amp;"","")</f>
        <v/>
      </c>
      <c r="H67" s="7" t="str">
        <f>IFERROR(INDEX('All Data'!$H$2:$H$419,MATCH(51,Engine!$X$2:$X$419,0))&amp;"","")</f>
        <v/>
      </c>
      <c r="I67" s="9" t="str">
        <f>IFERROR(INDEX('All Data'!$I$2:$I$419,MATCH(51,Engine!$X$2:$X$419,0)),"")</f>
        <v/>
      </c>
    </row>
    <row r="68" spans="1:9" x14ac:dyDescent="0.3">
      <c r="A68" s="6" t="str">
        <f>IF($B68="","",52)</f>
        <v/>
      </c>
      <c r="B68" s="7" t="str">
        <f>IFERROR(INDEX('All Data'!$B$2:$B$419,MATCH(52,Engine!$X$2:$X$419,0))&amp;"","")</f>
        <v/>
      </c>
      <c r="C68" s="7" t="str">
        <f>IFERROR(INDEX('All Data'!$C$2:$C$419,MATCH(52,Engine!$X$2:$X$419,0))&amp;"","")</f>
        <v/>
      </c>
      <c r="D68" s="8" t="str">
        <f>IFERROR(INDEX('All Data'!$D$2:$D$419,MATCH(52,Engine!$X$2:$X$419,0))&amp;"","")</f>
        <v/>
      </c>
      <c r="E68" s="7" t="str">
        <f>IFERROR(INDEX('All Data'!$E$2:$E$419,MATCH(52,Engine!$X$2:$X$419,0))&amp;"","")</f>
        <v/>
      </c>
      <c r="F68" s="7" t="str">
        <f>IFERROR(INDEX('All Data'!$F$2:$F$419,MATCH(52,Engine!$X$2:$X$419,0))&amp;"","")</f>
        <v/>
      </c>
      <c r="G68" s="7" t="str">
        <f>IFERROR(INDEX('All Data'!$G$2:$G$419,MATCH(52,Engine!$X$2:$X$419,0))&amp;"","")</f>
        <v/>
      </c>
      <c r="H68" s="7" t="str">
        <f>IFERROR(INDEX('All Data'!$H$2:$H$419,MATCH(52,Engine!$X$2:$X$419,0))&amp;"","")</f>
        <v/>
      </c>
      <c r="I68" s="9" t="str">
        <f>IFERROR(INDEX('All Data'!$I$2:$I$419,MATCH(52,Engine!$X$2:$X$419,0)),"")</f>
        <v/>
      </c>
    </row>
    <row r="69" spans="1:9" x14ac:dyDescent="0.3">
      <c r="A69" s="6" t="str">
        <f>IF($B69="","",53)</f>
        <v/>
      </c>
      <c r="B69" s="7" t="str">
        <f>IFERROR(INDEX('All Data'!$B$2:$B$419,MATCH(53,Engine!$X$2:$X$419,0))&amp;"","")</f>
        <v/>
      </c>
      <c r="C69" s="7" t="str">
        <f>IFERROR(INDEX('All Data'!$C$2:$C$419,MATCH(53,Engine!$X$2:$X$419,0))&amp;"","")</f>
        <v/>
      </c>
      <c r="D69" s="8" t="str">
        <f>IFERROR(INDEX('All Data'!$D$2:$D$419,MATCH(53,Engine!$X$2:$X$419,0))&amp;"","")</f>
        <v/>
      </c>
      <c r="E69" s="7" t="str">
        <f>IFERROR(INDEX('All Data'!$E$2:$E$419,MATCH(53,Engine!$X$2:$X$419,0))&amp;"","")</f>
        <v/>
      </c>
      <c r="F69" s="7" t="str">
        <f>IFERROR(INDEX('All Data'!$F$2:$F$419,MATCH(53,Engine!$X$2:$X$419,0))&amp;"","")</f>
        <v/>
      </c>
      <c r="G69" s="7" t="str">
        <f>IFERROR(INDEX('All Data'!$G$2:$G$419,MATCH(53,Engine!$X$2:$X$419,0))&amp;"","")</f>
        <v/>
      </c>
      <c r="H69" s="7" t="str">
        <f>IFERROR(INDEX('All Data'!$H$2:$H$419,MATCH(53,Engine!$X$2:$X$419,0))&amp;"","")</f>
        <v/>
      </c>
      <c r="I69" s="9" t="str">
        <f>IFERROR(INDEX('All Data'!$I$2:$I$419,MATCH(53,Engine!$X$2:$X$419,0)),"")</f>
        <v/>
      </c>
    </row>
    <row r="70" spans="1:9" x14ac:dyDescent="0.3">
      <c r="A70" s="6" t="str">
        <f>IF($B70="","",54)</f>
        <v/>
      </c>
      <c r="B70" s="7" t="str">
        <f>IFERROR(INDEX('All Data'!$B$2:$B$419,MATCH(54,Engine!$X$2:$X$419,0))&amp;"","")</f>
        <v/>
      </c>
      <c r="C70" s="7" t="str">
        <f>IFERROR(INDEX('All Data'!$C$2:$C$419,MATCH(54,Engine!$X$2:$X$419,0))&amp;"","")</f>
        <v/>
      </c>
      <c r="D70" s="8" t="str">
        <f>IFERROR(INDEX('All Data'!$D$2:$D$419,MATCH(54,Engine!$X$2:$X$419,0))&amp;"","")</f>
        <v/>
      </c>
      <c r="E70" s="7" t="str">
        <f>IFERROR(INDEX('All Data'!$E$2:$E$419,MATCH(54,Engine!$X$2:$X$419,0))&amp;"","")</f>
        <v/>
      </c>
      <c r="F70" s="7" t="str">
        <f>IFERROR(INDEX('All Data'!$F$2:$F$419,MATCH(54,Engine!$X$2:$X$419,0))&amp;"","")</f>
        <v/>
      </c>
      <c r="G70" s="7" t="str">
        <f>IFERROR(INDEX('All Data'!$G$2:$G$419,MATCH(54,Engine!$X$2:$X$419,0))&amp;"","")</f>
        <v/>
      </c>
      <c r="H70" s="7" t="str">
        <f>IFERROR(INDEX('All Data'!$H$2:$H$419,MATCH(54,Engine!$X$2:$X$419,0))&amp;"","")</f>
        <v/>
      </c>
      <c r="I70" s="9" t="str">
        <f>IFERROR(INDEX('All Data'!$I$2:$I$419,MATCH(54,Engine!$X$2:$X$419,0)),"")</f>
        <v/>
      </c>
    </row>
    <row r="71" spans="1:9" x14ac:dyDescent="0.3">
      <c r="A71" s="6" t="str">
        <f>IF($B71="","",55)</f>
        <v/>
      </c>
      <c r="B71" s="7" t="str">
        <f>IFERROR(INDEX('All Data'!$B$2:$B$419,MATCH(55,Engine!$X$2:$X$419,0))&amp;"","")</f>
        <v/>
      </c>
      <c r="C71" s="7" t="str">
        <f>IFERROR(INDEX('All Data'!$C$2:$C$419,MATCH(55,Engine!$X$2:$X$419,0))&amp;"","")</f>
        <v/>
      </c>
      <c r="D71" s="8" t="str">
        <f>IFERROR(INDEX('All Data'!$D$2:$D$419,MATCH(55,Engine!$X$2:$X$419,0))&amp;"","")</f>
        <v/>
      </c>
      <c r="E71" s="7" t="str">
        <f>IFERROR(INDEX('All Data'!$E$2:$E$419,MATCH(55,Engine!$X$2:$X$419,0))&amp;"","")</f>
        <v/>
      </c>
      <c r="F71" s="7" t="str">
        <f>IFERROR(INDEX('All Data'!$F$2:$F$419,MATCH(55,Engine!$X$2:$X$419,0))&amp;"","")</f>
        <v/>
      </c>
      <c r="G71" s="7" t="str">
        <f>IFERROR(INDEX('All Data'!$G$2:$G$419,MATCH(55,Engine!$X$2:$X$419,0))&amp;"","")</f>
        <v/>
      </c>
      <c r="H71" s="7" t="str">
        <f>IFERROR(INDEX('All Data'!$H$2:$H$419,MATCH(55,Engine!$X$2:$X$419,0))&amp;"","")</f>
        <v/>
      </c>
      <c r="I71" s="9" t="str">
        <f>IFERROR(INDEX('All Data'!$I$2:$I$419,MATCH(55,Engine!$X$2:$X$419,0)),"")</f>
        <v/>
      </c>
    </row>
    <row r="72" spans="1:9" x14ac:dyDescent="0.3">
      <c r="A72" s="6" t="str">
        <f>IF($B72="","",56)</f>
        <v/>
      </c>
      <c r="B72" s="7" t="str">
        <f>IFERROR(INDEX('All Data'!$B$2:$B$419,MATCH(56,Engine!$X$2:$X$419,0))&amp;"","")</f>
        <v/>
      </c>
      <c r="C72" s="7" t="str">
        <f>IFERROR(INDEX('All Data'!$C$2:$C$419,MATCH(56,Engine!$X$2:$X$419,0))&amp;"","")</f>
        <v/>
      </c>
      <c r="D72" s="8" t="str">
        <f>IFERROR(INDEX('All Data'!$D$2:$D$419,MATCH(56,Engine!$X$2:$X$419,0))&amp;"","")</f>
        <v/>
      </c>
      <c r="E72" s="7" t="str">
        <f>IFERROR(INDEX('All Data'!$E$2:$E$419,MATCH(56,Engine!$X$2:$X$419,0))&amp;"","")</f>
        <v/>
      </c>
      <c r="F72" s="7" t="str">
        <f>IFERROR(INDEX('All Data'!$F$2:$F$419,MATCH(56,Engine!$X$2:$X$419,0))&amp;"","")</f>
        <v/>
      </c>
      <c r="G72" s="7" t="str">
        <f>IFERROR(INDEX('All Data'!$G$2:$G$419,MATCH(56,Engine!$X$2:$X$419,0))&amp;"","")</f>
        <v/>
      </c>
      <c r="H72" s="7" t="str">
        <f>IFERROR(INDEX('All Data'!$H$2:$H$419,MATCH(56,Engine!$X$2:$X$419,0))&amp;"","")</f>
        <v/>
      </c>
      <c r="I72" s="9" t="str">
        <f>IFERROR(INDEX('All Data'!$I$2:$I$419,MATCH(56,Engine!$X$2:$X$419,0)),"")</f>
        <v/>
      </c>
    </row>
    <row r="73" spans="1:9" x14ac:dyDescent="0.3">
      <c r="A73" s="6" t="str">
        <f>IF($B73="","",57)</f>
        <v/>
      </c>
      <c r="B73" s="7" t="str">
        <f>IFERROR(INDEX('All Data'!$B$2:$B$419,MATCH(57,Engine!$X$2:$X$419,0))&amp;"","")</f>
        <v/>
      </c>
      <c r="C73" s="7" t="str">
        <f>IFERROR(INDEX('All Data'!$C$2:$C$419,MATCH(57,Engine!$X$2:$X$419,0))&amp;"","")</f>
        <v/>
      </c>
      <c r="D73" s="8" t="str">
        <f>IFERROR(INDEX('All Data'!$D$2:$D$419,MATCH(57,Engine!$X$2:$X$419,0))&amp;"","")</f>
        <v/>
      </c>
      <c r="E73" s="7" t="str">
        <f>IFERROR(INDEX('All Data'!$E$2:$E$419,MATCH(57,Engine!$X$2:$X$419,0))&amp;"","")</f>
        <v/>
      </c>
      <c r="F73" s="7" t="str">
        <f>IFERROR(INDEX('All Data'!$F$2:$F$419,MATCH(57,Engine!$X$2:$X$419,0))&amp;"","")</f>
        <v/>
      </c>
      <c r="G73" s="7" t="str">
        <f>IFERROR(INDEX('All Data'!$G$2:$G$419,MATCH(57,Engine!$X$2:$X$419,0))&amp;"","")</f>
        <v/>
      </c>
      <c r="H73" s="7" t="str">
        <f>IFERROR(INDEX('All Data'!$H$2:$H$419,MATCH(57,Engine!$X$2:$X$419,0))&amp;"","")</f>
        <v/>
      </c>
      <c r="I73" s="9" t="str">
        <f>IFERROR(INDEX('All Data'!$I$2:$I$419,MATCH(57,Engine!$X$2:$X$419,0)),"")</f>
        <v/>
      </c>
    </row>
    <row r="74" spans="1:9" x14ac:dyDescent="0.3">
      <c r="A74" s="6" t="str">
        <f>IF($B74="","",58)</f>
        <v/>
      </c>
      <c r="B74" s="7" t="str">
        <f>IFERROR(INDEX('All Data'!$B$2:$B$419,MATCH(58,Engine!$X$2:$X$419,0))&amp;"","")</f>
        <v/>
      </c>
      <c r="C74" s="7" t="str">
        <f>IFERROR(INDEX('All Data'!$C$2:$C$419,MATCH(58,Engine!$X$2:$X$419,0))&amp;"","")</f>
        <v/>
      </c>
      <c r="D74" s="8" t="str">
        <f>IFERROR(INDEX('All Data'!$D$2:$D$419,MATCH(58,Engine!$X$2:$X$419,0))&amp;"","")</f>
        <v/>
      </c>
      <c r="E74" s="7" t="str">
        <f>IFERROR(INDEX('All Data'!$E$2:$E$419,MATCH(58,Engine!$X$2:$X$419,0))&amp;"","")</f>
        <v/>
      </c>
      <c r="F74" s="7" t="str">
        <f>IFERROR(INDEX('All Data'!$F$2:$F$419,MATCH(58,Engine!$X$2:$X$419,0))&amp;"","")</f>
        <v/>
      </c>
      <c r="G74" s="7" t="str">
        <f>IFERROR(INDEX('All Data'!$G$2:$G$419,MATCH(58,Engine!$X$2:$X$419,0))&amp;"","")</f>
        <v/>
      </c>
      <c r="H74" s="7" t="str">
        <f>IFERROR(INDEX('All Data'!$H$2:$H$419,MATCH(58,Engine!$X$2:$X$419,0))&amp;"","")</f>
        <v/>
      </c>
      <c r="I74" s="9" t="str">
        <f>IFERROR(INDEX('All Data'!$I$2:$I$419,MATCH(58,Engine!$X$2:$X$419,0)),"")</f>
        <v/>
      </c>
    </row>
    <row r="75" spans="1:9" x14ac:dyDescent="0.3">
      <c r="A75" s="6" t="str">
        <f>IF($B75="","",59)</f>
        <v/>
      </c>
      <c r="B75" s="7" t="str">
        <f>IFERROR(INDEX('All Data'!$B$2:$B$419,MATCH(59,Engine!$X$2:$X$419,0))&amp;"","")</f>
        <v/>
      </c>
      <c r="C75" s="7" t="str">
        <f>IFERROR(INDEX('All Data'!$C$2:$C$419,MATCH(59,Engine!$X$2:$X$419,0))&amp;"","")</f>
        <v/>
      </c>
      <c r="D75" s="8" t="str">
        <f>IFERROR(INDEX('All Data'!$D$2:$D$419,MATCH(59,Engine!$X$2:$X$419,0))&amp;"","")</f>
        <v/>
      </c>
      <c r="E75" s="7" t="str">
        <f>IFERROR(INDEX('All Data'!$E$2:$E$419,MATCH(59,Engine!$X$2:$X$419,0))&amp;"","")</f>
        <v/>
      </c>
      <c r="F75" s="7" t="str">
        <f>IFERROR(INDEX('All Data'!$F$2:$F$419,MATCH(59,Engine!$X$2:$X$419,0))&amp;"","")</f>
        <v/>
      </c>
      <c r="G75" s="7" t="str">
        <f>IFERROR(INDEX('All Data'!$G$2:$G$419,MATCH(59,Engine!$X$2:$X$419,0))&amp;"","")</f>
        <v/>
      </c>
      <c r="H75" s="7" t="str">
        <f>IFERROR(INDEX('All Data'!$H$2:$H$419,MATCH(59,Engine!$X$2:$X$419,0))&amp;"","")</f>
        <v/>
      </c>
      <c r="I75" s="9" t="str">
        <f>IFERROR(INDEX('All Data'!$I$2:$I$419,MATCH(59,Engine!$X$2:$X$419,0)),"")</f>
        <v/>
      </c>
    </row>
    <row r="76" spans="1:9" x14ac:dyDescent="0.3">
      <c r="A76" s="6" t="str">
        <f>IF($B76="","",60)</f>
        <v/>
      </c>
      <c r="B76" s="7" t="str">
        <f>IFERROR(INDEX('All Data'!$B$2:$B$419,MATCH(60,Engine!$X$2:$X$419,0))&amp;"","")</f>
        <v/>
      </c>
      <c r="C76" s="7" t="str">
        <f>IFERROR(INDEX('All Data'!$C$2:$C$419,MATCH(60,Engine!$X$2:$X$419,0))&amp;"","")</f>
        <v/>
      </c>
      <c r="D76" s="8" t="str">
        <f>IFERROR(INDEX('All Data'!$D$2:$D$419,MATCH(60,Engine!$X$2:$X$419,0))&amp;"","")</f>
        <v/>
      </c>
      <c r="E76" s="7" t="str">
        <f>IFERROR(INDEX('All Data'!$E$2:$E$419,MATCH(60,Engine!$X$2:$X$419,0))&amp;"","")</f>
        <v/>
      </c>
      <c r="F76" s="7" t="str">
        <f>IFERROR(INDEX('All Data'!$F$2:$F$419,MATCH(60,Engine!$X$2:$X$419,0))&amp;"","")</f>
        <v/>
      </c>
      <c r="G76" s="7" t="str">
        <f>IFERROR(INDEX('All Data'!$G$2:$G$419,MATCH(60,Engine!$X$2:$X$419,0))&amp;"","")</f>
        <v/>
      </c>
      <c r="H76" s="7" t="str">
        <f>IFERROR(INDEX('All Data'!$H$2:$H$419,MATCH(60,Engine!$X$2:$X$419,0))&amp;"","")</f>
        <v/>
      </c>
      <c r="I76" s="9" t="str">
        <f>IFERROR(INDEX('All Data'!$I$2:$I$419,MATCH(60,Engine!$X$2:$X$419,0)),"")</f>
        <v/>
      </c>
    </row>
    <row r="77" spans="1:9" x14ac:dyDescent="0.3">
      <c r="A77" s="6" t="str">
        <f>IF($B77="","",61)</f>
        <v/>
      </c>
      <c r="B77" s="7" t="str">
        <f>IFERROR(INDEX('All Data'!$B$2:$B$419,MATCH(61,Engine!$X$2:$X$419,0))&amp;"","")</f>
        <v/>
      </c>
      <c r="C77" s="7" t="str">
        <f>IFERROR(INDEX('All Data'!$C$2:$C$419,MATCH(61,Engine!$X$2:$X$419,0))&amp;"","")</f>
        <v/>
      </c>
      <c r="D77" s="8" t="str">
        <f>IFERROR(INDEX('All Data'!$D$2:$D$419,MATCH(61,Engine!$X$2:$X$419,0))&amp;"","")</f>
        <v/>
      </c>
      <c r="E77" s="7" t="str">
        <f>IFERROR(INDEX('All Data'!$E$2:$E$419,MATCH(61,Engine!$X$2:$X$419,0))&amp;"","")</f>
        <v/>
      </c>
      <c r="F77" s="7" t="str">
        <f>IFERROR(INDEX('All Data'!$F$2:$F$419,MATCH(61,Engine!$X$2:$X$419,0))&amp;"","")</f>
        <v/>
      </c>
      <c r="G77" s="7" t="str">
        <f>IFERROR(INDEX('All Data'!$G$2:$G$419,MATCH(61,Engine!$X$2:$X$419,0))&amp;"","")</f>
        <v/>
      </c>
      <c r="H77" s="7" t="str">
        <f>IFERROR(INDEX('All Data'!$H$2:$H$419,MATCH(61,Engine!$X$2:$X$419,0))&amp;"","")</f>
        <v/>
      </c>
      <c r="I77" s="9" t="str">
        <f>IFERROR(INDEX('All Data'!$I$2:$I$419,MATCH(61,Engine!$X$2:$X$419,0)),"")</f>
        <v/>
      </c>
    </row>
    <row r="78" spans="1:9" x14ac:dyDescent="0.3">
      <c r="A78" s="6" t="str">
        <f>IF($B78="","",62)</f>
        <v/>
      </c>
      <c r="B78" s="7" t="str">
        <f>IFERROR(INDEX('All Data'!$B$2:$B$419,MATCH(62,Engine!$X$2:$X$419,0))&amp;"","")</f>
        <v/>
      </c>
      <c r="C78" s="7" t="str">
        <f>IFERROR(INDEX('All Data'!$C$2:$C$419,MATCH(62,Engine!$X$2:$X$419,0))&amp;"","")</f>
        <v/>
      </c>
      <c r="D78" s="8" t="str">
        <f>IFERROR(INDEX('All Data'!$D$2:$D$419,MATCH(62,Engine!$X$2:$X$419,0))&amp;"","")</f>
        <v/>
      </c>
      <c r="E78" s="7" t="str">
        <f>IFERROR(INDEX('All Data'!$E$2:$E$419,MATCH(62,Engine!$X$2:$X$419,0))&amp;"","")</f>
        <v/>
      </c>
      <c r="F78" s="7" t="str">
        <f>IFERROR(INDEX('All Data'!$F$2:$F$419,MATCH(62,Engine!$X$2:$X$419,0))&amp;"","")</f>
        <v/>
      </c>
      <c r="G78" s="7" t="str">
        <f>IFERROR(INDEX('All Data'!$G$2:$G$419,MATCH(62,Engine!$X$2:$X$419,0))&amp;"","")</f>
        <v/>
      </c>
      <c r="H78" s="7" t="str">
        <f>IFERROR(INDEX('All Data'!$H$2:$H$419,MATCH(62,Engine!$X$2:$X$419,0))&amp;"","")</f>
        <v/>
      </c>
      <c r="I78" s="9" t="str">
        <f>IFERROR(INDEX('All Data'!$I$2:$I$419,MATCH(62,Engine!$X$2:$X$419,0)),"")</f>
        <v/>
      </c>
    </row>
    <row r="79" spans="1:9" x14ac:dyDescent="0.3">
      <c r="A79" s="6" t="str">
        <f>IF($B79="","",63)</f>
        <v/>
      </c>
      <c r="B79" s="7" t="str">
        <f>IFERROR(INDEX('All Data'!$B$2:$B$419,MATCH(63,Engine!$X$2:$X$419,0))&amp;"","")</f>
        <v/>
      </c>
      <c r="C79" s="7" t="str">
        <f>IFERROR(INDEX('All Data'!$C$2:$C$419,MATCH(63,Engine!$X$2:$X$419,0))&amp;"","")</f>
        <v/>
      </c>
      <c r="D79" s="8" t="str">
        <f>IFERROR(INDEX('All Data'!$D$2:$D$419,MATCH(63,Engine!$X$2:$X$419,0))&amp;"","")</f>
        <v/>
      </c>
      <c r="E79" s="7" t="str">
        <f>IFERROR(INDEX('All Data'!$E$2:$E$419,MATCH(63,Engine!$X$2:$X$419,0))&amp;"","")</f>
        <v/>
      </c>
      <c r="F79" s="7" t="str">
        <f>IFERROR(INDEX('All Data'!$F$2:$F$419,MATCH(63,Engine!$X$2:$X$419,0))&amp;"","")</f>
        <v/>
      </c>
      <c r="G79" s="7" t="str">
        <f>IFERROR(INDEX('All Data'!$G$2:$G$419,MATCH(63,Engine!$X$2:$X$419,0))&amp;"","")</f>
        <v/>
      </c>
      <c r="H79" s="7" t="str">
        <f>IFERROR(INDEX('All Data'!$H$2:$H$419,MATCH(63,Engine!$X$2:$X$419,0))&amp;"","")</f>
        <v/>
      </c>
      <c r="I79" s="9" t="str">
        <f>IFERROR(INDEX('All Data'!$I$2:$I$419,MATCH(63,Engine!$X$2:$X$419,0)),"")</f>
        <v/>
      </c>
    </row>
    <row r="80" spans="1:9" x14ac:dyDescent="0.3">
      <c r="A80" s="6" t="str">
        <f>IF($B80="","",64)</f>
        <v/>
      </c>
      <c r="B80" s="7" t="str">
        <f>IFERROR(INDEX('All Data'!$B$2:$B$419,MATCH(64,Engine!$X$2:$X$419,0))&amp;"","")</f>
        <v/>
      </c>
      <c r="C80" s="7" t="str">
        <f>IFERROR(INDEX('All Data'!$C$2:$C$419,MATCH(64,Engine!$X$2:$X$419,0))&amp;"","")</f>
        <v/>
      </c>
      <c r="D80" s="8" t="str">
        <f>IFERROR(INDEX('All Data'!$D$2:$D$419,MATCH(64,Engine!$X$2:$X$419,0))&amp;"","")</f>
        <v/>
      </c>
      <c r="E80" s="7" t="str">
        <f>IFERROR(INDEX('All Data'!$E$2:$E$419,MATCH(64,Engine!$X$2:$X$419,0))&amp;"","")</f>
        <v/>
      </c>
      <c r="F80" s="7" t="str">
        <f>IFERROR(INDEX('All Data'!$F$2:$F$419,MATCH(64,Engine!$X$2:$X$419,0))&amp;"","")</f>
        <v/>
      </c>
      <c r="G80" s="7" t="str">
        <f>IFERROR(INDEX('All Data'!$G$2:$G$419,MATCH(64,Engine!$X$2:$X$419,0))&amp;"","")</f>
        <v/>
      </c>
      <c r="H80" s="7" t="str">
        <f>IFERROR(INDEX('All Data'!$H$2:$H$419,MATCH(64,Engine!$X$2:$X$419,0))&amp;"","")</f>
        <v/>
      </c>
      <c r="I80" s="9" t="str">
        <f>IFERROR(INDEX('All Data'!$I$2:$I$419,MATCH(64,Engine!$X$2:$X$419,0)),"")</f>
        <v/>
      </c>
    </row>
    <row r="81" spans="1:9" x14ac:dyDescent="0.3">
      <c r="A81" s="6" t="str">
        <f>IF($B81="","",65)</f>
        <v/>
      </c>
      <c r="B81" s="7" t="str">
        <f>IFERROR(INDEX('All Data'!$B$2:$B$419,MATCH(65,Engine!$X$2:$X$419,0))&amp;"","")</f>
        <v/>
      </c>
      <c r="C81" s="7" t="str">
        <f>IFERROR(INDEX('All Data'!$C$2:$C$419,MATCH(65,Engine!$X$2:$X$419,0))&amp;"","")</f>
        <v/>
      </c>
      <c r="D81" s="8" t="str">
        <f>IFERROR(INDEX('All Data'!$D$2:$D$419,MATCH(65,Engine!$X$2:$X$419,0))&amp;"","")</f>
        <v/>
      </c>
      <c r="E81" s="7" t="str">
        <f>IFERROR(INDEX('All Data'!$E$2:$E$419,MATCH(65,Engine!$X$2:$X$419,0))&amp;"","")</f>
        <v/>
      </c>
      <c r="F81" s="7" t="str">
        <f>IFERROR(INDEX('All Data'!$F$2:$F$419,MATCH(65,Engine!$X$2:$X$419,0))&amp;"","")</f>
        <v/>
      </c>
      <c r="G81" s="7" t="str">
        <f>IFERROR(INDEX('All Data'!$G$2:$G$419,MATCH(65,Engine!$X$2:$X$419,0))&amp;"","")</f>
        <v/>
      </c>
      <c r="H81" s="7" t="str">
        <f>IFERROR(INDEX('All Data'!$H$2:$H$419,MATCH(65,Engine!$X$2:$X$419,0))&amp;"","")</f>
        <v/>
      </c>
      <c r="I81" s="9" t="str">
        <f>IFERROR(INDEX('All Data'!$I$2:$I$419,MATCH(65,Engine!$X$2:$X$419,0)),"")</f>
        <v/>
      </c>
    </row>
    <row r="82" spans="1:9" x14ac:dyDescent="0.3">
      <c r="A82" s="6" t="str">
        <f>IF($B82="","",66)</f>
        <v/>
      </c>
      <c r="B82" s="7" t="str">
        <f>IFERROR(INDEX('All Data'!$B$2:$B$419,MATCH(66,Engine!$X$2:$X$419,0))&amp;"","")</f>
        <v/>
      </c>
      <c r="C82" s="7" t="str">
        <f>IFERROR(INDEX('All Data'!$C$2:$C$419,MATCH(66,Engine!$X$2:$X$419,0))&amp;"","")</f>
        <v/>
      </c>
      <c r="D82" s="8" t="str">
        <f>IFERROR(INDEX('All Data'!$D$2:$D$419,MATCH(66,Engine!$X$2:$X$419,0))&amp;"","")</f>
        <v/>
      </c>
      <c r="E82" s="7" t="str">
        <f>IFERROR(INDEX('All Data'!$E$2:$E$419,MATCH(66,Engine!$X$2:$X$419,0))&amp;"","")</f>
        <v/>
      </c>
      <c r="F82" s="7" t="str">
        <f>IFERROR(INDEX('All Data'!$F$2:$F$419,MATCH(66,Engine!$X$2:$X$419,0))&amp;"","")</f>
        <v/>
      </c>
      <c r="G82" s="7" t="str">
        <f>IFERROR(INDEX('All Data'!$G$2:$G$419,MATCH(66,Engine!$X$2:$X$419,0))&amp;"","")</f>
        <v/>
      </c>
      <c r="H82" s="7" t="str">
        <f>IFERROR(INDEX('All Data'!$H$2:$H$419,MATCH(66,Engine!$X$2:$X$419,0))&amp;"","")</f>
        <v/>
      </c>
      <c r="I82" s="9" t="str">
        <f>IFERROR(INDEX('All Data'!$I$2:$I$419,MATCH(66,Engine!$X$2:$X$419,0)),"")</f>
        <v/>
      </c>
    </row>
    <row r="83" spans="1:9" x14ac:dyDescent="0.3">
      <c r="A83" s="6" t="str">
        <f>IF($B83="","",67)</f>
        <v/>
      </c>
      <c r="B83" s="7" t="str">
        <f>IFERROR(INDEX('All Data'!$B$2:$B$419,MATCH(67,Engine!$X$2:$X$419,0))&amp;"","")</f>
        <v/>
      </c>
      <c r="C83" s="7" t="str">
        <f>IFERROR(INDEX('All Data'!$C$2:$C$419,MATCH(67,Engine!$X$2:$X$419,0))&amp;"","")</f>
        <v/>
      </c>
      <c r="D83" s="8" t="str">
        <f>IFERROR(INDEX('All Data'!$D$2:$D$419,MATCH(67,Engine!$X$2:$X$419,0))&amp;"","")</f>
        <v/>
      </c>
      <c r="E83" s="7" t="str">
        <f>IFERROR(INDEX('All Data'!$E$2:$E$419,MATCH(67,Engine!$X$2:$X$419,0))&amp;"","")</f>
        <v/>
      </c>
      <c r="F83" s="7" t="str">
        <f>IFERROR(INDEX('All Data'!$F$2:$F$419,MATCH(67,Engine!$X$2:$X$419,0))&amp;"","")</f>
        <v/>
      </c>
      <c r="G83" s="7" t="str">
        <f>IFERROR(INDEX('All Data'!$G$2:$G$419,MATCH(67,Engine!$X$2:$X$419,0))&amp;"","")</f>
        <v/>
      </c>
      <c r="H83" s="7" t="str">
        <f>IFERROR(INDEX('All Data'!$H$2:$H$419,MATCH(67,Engine!$X$2:$X$419,0))&amp;"","")</f>
        <v/>
      </c>
      <c r="I83" s="9" t="str">
        <f>IFERROR(INDEX('All Data'!$I$2:$I$419,MATCH(67,Engine!$X$2:$X$419,0)),"")</f>
        <v/>
      </c>
    </row>
    <row r="84" spans="1:9" x14ac:dyDescent="0.3">
      <c r="A84" s="6" t="str">
        <f>IF($B84="","",68)</f>
        <v/>
      </c>
      <c r="B84" s="7" t="str">
        <f>IFERROR(INDEX('All Data'!$B$2:$B$419,MATCH(68,Engine!$X$2:$X$419,0))&amp;"","")</f>
        <v/>
      </c>
      <c r="C84" s="7" t="str">
        <f>IFERROR(INDEX('All Data'!$C$2:$C$419,MATCH(68,Engine!$X$2:$X$419,0))&amp;"","")</f>
        <v/>
      </c>
      <c r="D84" s="8" t="str">
        <f>IFERROR(INDEX('All Data'!$D$2:$D$419,MATCH(68,Engine!$X$2:$X$419,0))&amp;"","")</f>
        <v/>
      </c>
      <c r="E84" s="7" t="str">
        <f>IFERROR(INDEX('All Data'!$E$2:$E$419,MATCH(68,Engine!$X$2:$X$419,0))&amp;"","")</f>
        <v/>
      </c>
      <c r="F84" s="7" t="str">
        <f>IFERROR(INDEX('All Data'!$F$2:$F$419,MATCH(68,Engine!$X$2:$X$419,0))&amp;"","")</f>
        <v/>
      </c>
      <c r="G84" s="7" t="str">
        <f>IFERROR(INDEX('All Data'!$G$2:$G$419,MATCH(68,Engine!$X$2:$X$419,0))&amp;"","")</f>
        <v/>
      </c>
      <c r="H84" s="7" t="str">
        <f>IFERROR(INDEX('All Data'!$H$2:$H$419,MATCH(68,Engine!$X$2:$X$419,0))&amp;"","")</f>
        <v/>
      </c>
      <c r="I84" s="9" t="str">
        <f>IFERROR(INDEX('All Data'!$I$2:$I$419,MATCH(68,Engine!$X$2:$X$419,0)),"")</f>
        <v/>
      </c>
    </row>
    <row r="85" spans="1:9" x14ac:dyDescent="0.3">
      <c r="A85" s="6" t="str">
        <f>IF($B85="","",69)</f>
        <v/>
      </c>
      <c r="B85" s="7" t="str">
        <f>IFERROR(INDEX('All Data'!$B$2:$B$419,MATCH(69,Engine!$X$2:$X$419,0))&amp;"","")</f>
        <v/>
      </c>
      <c r="C85" s="7" t="str">
        <f>IFERROR(INDEX('All Data'!$C$2:$C$419,MATCH(69,Engine!$X$2:$X$419,0))&amp;"","")</f>
        <v/>
      </c>
      <c r="D85" s="8" t="str">
        <f>IFERROR(INDEX('All Data'!$D$2:$D$419,MATCH(69,Engine!$X$2:$X$419,0))&amp;"","")</f>
        <v/>
      </c>
      <c r="E85" s="7" t="str">
        <f>IFERROR(INDEX('All Data'!$E$2:$E$419,MATCH(69,Engine!$X$2:$X$419,0))&amp;"","")</f>
        <v/>
      </c>
      <c r="F85" s="7" t="str">
        <f>IFERROR(INDEX('All Data'!$F$2:$F$419,MATCH(69,Engine!$X$2:$X$419,0))&amp;"","")</f>
        <v/>
      </c>
      <c r="G85" s="7" t="str">
        <f>IFERROR(INDEX('All Data'!$G$2:$G$419,MATCH(69,Engine!$X$2:$X$419,0))&amp;"","")</f>
        <v/>
      </c>
      <c r="H85" s="7" t="str">
        <f>IFERROR(INDEX('All Data'!$H$2:$H$419,MATCH(69,Engine!$X$2:$X$419,0))&amp;"","")</f>
        <v/>
      </c>
      <c r="I85" s="9" t="str">
        <f>IFERROR(INDEX('All Data'!$I$2:$I$419,MATCH(69,Engine!$X$2:$X$419,0)),"")</f>
        <v/>
      </c>
    </row>
    <row r="86" spans="1:9" x14ac:dyDescent="0.3">
      <c r="A86" s="6" t="str">
        <f>IF($B86="","",70)</f>
        <v/>
      </c>
      <c r="B86" s="7" t="str">
        <f>IFERROR(INDEX('All Data'!$B$2:$B$419,MATCH(70,Engine!$X$2:$X$419,0))&amp;"","")</f>
        <v/>
      </c>
      <c r="C86" s="7" t="str">
        <f>IFERROR(INDEX('All Data'!$C$2:$C$419,MATCH(70,Engine!$X$2:$X$419,0))&amp;"","")</f>
        <v/>
      </c>
      <c r="D86" s="8" t="str">
        <f>IFERROR(INDEX('All Data'!$D$2:$D$419,MATCH(70,Engine!$X$2:$X$419,0))&amp;"","")</f>
        <v/>
      </c>
      <c r="E86" s="7" t="str">
        <f>IFERROR(INDEX('All Data'!$E$2:$E$419,MATCH(70,Engine!$X$2:$X$419,0))&amp;"","")</f>
        <v/>
      </c>
      <c r="F86" s="7" t="str">
        <f>IFERROR(INDEX('All Data'!$F$2:$F$419,MATCH(70,Engine!$X$2:$X$419,0))&amp;"","")</f>
        <v/>
      </c>
      <c r="G86" s="7" t="str">
        <f>IFERROR(INDEX('All Data'!$G$2:$G$419,MATCH(70,Engine!$X$2:$X$419,0))&amp;"","")</f>
        <v/>
      </c>
      <c r="H86" s="7" t="str">
        <f>IFERROR(INDEX('All Data'!$H$2:$H$419,MATCH(70,Engine!$X$2:$X$419,0))&amp;"","")</f>
        <v/>
      </c>
      <c r="I86" s="9" t="str">
        <f>IFERROR(INDEX('All Data'!$I$2:$I$419,MATCH(70,Engine!$X$2:$X$419,0)),"")</f>
        <v/>
      </c>
    </row>
    <row r="87" spans="1:9" x14ac:dyDescent="0.3">
      <c r="A87" s="6" t="str">
        <f>IF($B87="","",71)</f>
        <v/>
      </c>
      <c r="B87" s="7" t="str">
        <f>IFERROR(INDEX('All Data'!$B$2:$B$419,MATCH(71,Engine!$X$2:$X$419,0))&amp;"","")</f>
        <v/>
      </c>
      <c r="C87" s="7" t="str">
        <f>IFERROR(INDEX('All Data'!$C$2:$C$419,MATCH(71,Engine!$X$2:$X$419,0))&amp;"","")</f>
        <v/>
      </c>
      <c r="D87" s="8" t="str">
        <f>IFERROR(INDEX('All Data'!$D$2:$D$419,MATCH(71,Engine!$X$2:$X$419,0))&amp;"","")</f>
        <v/>
      </c>
      <c r="E87" s="7" t="str">
        <f>IFERROR(INDEX('All Data'!$E$2:$E$419,MATCH(71,Engine!$X$2:$X$419,0))&amp;"","")</f>
        <v/>
      </c>
      <c r="F87" s="7" t="str">
        <f>IFERROR(INDEX('All Data'!$F$2:$F$419,MATCH(71,Engine!$X$2:$X$419,0))&amp;"","")</f>
        <v/>
      </c>
      <c r="G87" s="7" t="str">
        <f>IFERROR(INDEX('All Data'!$G$2:$G$419,MATCH(71,Engine!$X$2:$X$419,0))&amp;"","")</f>
        <v/>
      </c>
      <c r="H87" s="7" t="str">
        <f>IFERROR(INDEX('All Data'!$H$2:$H$419,MATCH(71,Engine!$X$2:$X$419,0))&amp;"","")</f>
        <v/>
      </c>
      <c r="I87" s="9" t="str">
        <f>IFERROR(INDEX('All Data'!$I$2:$I$419,MATCH(71,Engine!$X$2:$X$419,0)),"")</f>
        <v/>
      </c>
    </row>
    <row r="88" spans="1:9" x14ac:dyDescent="0.3">
      <c r="A88" s="6" t="str">
        <f>IF($B88="","",72)</f>
        <v/>
      </c>
      <c r="B88" s="7" t="str">
        <f>IFERROR(INDEX('All Data'!$B$2:$B$419,MATCH(72,Engine!$X$2:$X$419,0))&amp;"","")</f>
        <v/>
      </c>
      <c r="C88" s="7" t="str">
        <f>IFERROR(INDEX('All Data'!$C$2:$C$419,MATCH(72,Engine!$X$2:$X$419,0))&amp;"","")</f>
        <v/>
      </c>
      <c r="D88" s="8" t="str">
        <f>IFERROR(INDEX('All Data'!$D$2:$D$419,MATCH(72,Engine!$X$2:$X$419,0))&amp;"","")</f>
        <v/>
      </c>
      <c r="E88" s="7" t="str">
        <f>IFERROR(INDEX('All Data'!$E$2:$E$419,MATCH(72,Engine!$X$2:$X$419,0))&amp;"","")</f>
        <v/>
      </c>
      <c r="F88" s="7" t="str">
        <f>IFERROR(INDEX('All Data'!$F$2:$F$419,MATCH(72,Engine!$X$2:$X$419,0))&amp;"","")</f>
        <v/>
      </c>
      <c r="G88" s="7" t="str">
        <f>IFERROR(INDEX('All Data'!$G$2:$G$419,MATCH(72,Engine!$X$2:$X$419,0))&amp;"","")</f>
        <v/>
      </c>
      <c r="H88" s="7" t="str">
        <f>IFERROR(INDEX('All Data'!$H$2:$H$419,MATCH(72,Engine!$X$2:$X$419,0))&amp;"","")</f>
        <v/>
      </c>
      <c r="I88" s="9" t="str">
        <f>IFERROR(INDEX('All Data'!$I$2:$I$419,MATCH(72,Engine!$X$2:$X$419,0)),"")</f>
        <v/>
      </c>
    </row>
    <row r="89" spans="1:9" x14ac:dyDescent="0.3">
      <c r="A89" s="6" t="str">
        <f>IF($B89="","",73)</f>
        <v/>
      </c>
      <c r="B89" s="7" t="str">
        <f>IFERROR(INDEX('All Data'!$B$2:$B$419,MATCH(73,Engine!$X$2:$X$419,0))&amp;"","")</f>
        <v/>
      </c>
      <c r="C89" s="7" t="str">
        <f>IFERROR(INDEX('All Data'!$C$2:$C$419,MATCH(73,Engine!$X$2:$X$419,0))&amp;"","")</f>
        <v/>
      </c>
      <c r="D89" s="8" t="str">
        <f>IFERROR(INDEX('All Data'!$D$2:$D$419,MATCH(73,Engine!$X$2:$X$419,0))&amp;"","")</f>
        <v/>
      </c>
      <c r="E89" s="7" t="str">
        <f>IFERROR(INDEX('All Data'!$E$2:$E$419,MATCH(73,Engine!$X$2:$X$419,0))&amp;"","")</f>
        <v/>
      </c>
      <c r="F89" s="7" t="str">
        <f>IFERROR(INDEX('All Data'!$F$2:$F$419,MATCH(73,Engine!$X$2:$X$419,0))&amp;"","")</f>
        <v/>
      </c>
      <c r="G89" s="7" t="str">
        <f>IFERROR(INDEX('All Data'!$G$2:$G$419,MATCH(73,Engine!$X$2:$X$419,0))&amp;"","")</f>
        <v/>
      </c>
      <c r="H89" s="7" t="str">
        <f>IFERROR(INDEX('All Data'!$H$2:$H$419,MATCH(73,Engine!$X$2:$X$419,0))&amp;"","")</f>
        <v/>
      </c>
      <c r="I89" s="9" t="str">
        <f>IFERROR(INDEX('All Data'!$I$2:$I$419,MATCH(73,Engine!$X$2:$X$419,0)),"")</f>
        <v/>
      </c>
    </row>
    <row r="90" spans="1:9" x14ac:dyDescent="0.3">
      <c r="A90" s="6" t="str">
        <f>IF($B90="","",74)</f>
        <v/>
      </c>
      <c r="B90" s="7" t="str">
        <f>IFERROR(INDEX('All Data'!$B$2:$B$419,MATCH(74,Engine!$X$2:$X$419,0))&amp;"","")</f>
        <v/>
      </c>
      <c r="C90" s="7" t="str">
        <f>IFERROR(INDEX('All Data'!$C$2:$C$419,MATCH(74,Engine!$X$2:$X$419,0))&amp;"","")</f>
        <v/>
      </c>
      <c r="D90" s="8" t="str">
        <f>IFERROR(INDEX('All Data'!$D$2:$D$419,MATCH(74,Engine!$X$2:$X$419,0))&amp;"","")</f>
        <v/>
      </c>
      <c r="E90" s="7" t="str">
        <f>IFERROR(INDEX('All Data'!$E$2:$E$419,MATCH(74,Engine!$X$2:$X$419,0))&amp;"","")</f>
        <v/>
      </c>
      <c r="F90" s="7" t="str">
        <f>IFERROR(INDEX('All Data'!$F$2:$F$419,MATCH(74,Engine!$X$2:$X$419,0))&amp;"","")</f>
        <v/>
      </c>
      <c r="G90" s="7" t="str">
        <f>IFERROR(INDEX('All Data'!$G$2:$G$419,MATCH(74,Engine!$X$2:$X$419,0))&amp;"","")</f>
        <v/>
      </c>
      <c r="H90" s="7" t="str">
        <f>IFERROR(INDEX('All Data'!$H$2:$H$419,MATCH(74,Engine!$X$2:$X$419,0))&amp;"","")</f>
        <v/>
      </c>
      <c r="I90" s="9" t="str">
        <f>IFERROR(INDEX('All Data'!$I$2:$I$419,MATCH(74,Engine!$X$2:$X$419,0)),"")</f>
        <v/>
      </c>
    </row>
    <row r="91" spans="1:9" x14ac:dyDescent="0.3">
      <c r="A91" s="6" t="str">
        <f>IF($B91="","",75)</f>
        <v/>
      </c>
      <c r="B91" s="7" t="str">
        <f>IFERROR(INDEX('All Data'!$B$2:$B$419,MATCH(75,Engine!$X$2:$X$419,0))&amp;"","")</f>
        <v/>
      </c>
      <c r="C91" s="7" t="str">
        <f>IFERROR(INDEX('All Data'!$C$2:$C$419,MATCH(75,Engine!$X$2:$X$419,0))&amp;"","")</f>
        <v/>
      </c>
      <c r="D91" s="8" t="str">
        <f>IFERROR(INDEX('All Data'!$D$2:$D$419,MATCH(75,Engine!$X$2:$X$419,0))&amp;"","")</f>
        <v/>
      </c>
      <c r="E91" s="7" t="str">
        <f>IFERROR(INDEX('All Data'!$E$2:$E$419,MATCH(75,Engine!$X$2:$X$419,0))&amp;"","")</f>
        <v/>
      </c>
      <c r="F91" s="7" t="str">
        <f>IFERROR(INDEX('All Data'!$F$2:$F$419,MATCH(75,Engine!$X$2:$X$419,0))&amp;"","")</f>
        <v/>
      </c>
      <c r="G91" s="7" t="str">
        <f>IFERROR(INDEX('All Data'!$G$2:$G$419,MATCH(75,Engine!$X$2:$X$419,0))&amp;"","")</f>
        <v/>
      </c>
      <c r="H91" s="7" t="str">
        <f>IFERROR(INDEX('All Data'!$H$2:$H$419,MATCH(75,Engine!$X$2:$X$419,0))&amp;"","")</f>
        <v/>
      </c>
      <c r="I91" s="9" t="str">
        <f>IFERROR(INDEX('All Data'!$I$2:$I$419,MATCH(75,Engine!$X$2:$X$419,0)),"")</f>
        <v/>
      </c>
    </row>
    <row r="92" spans="1:9" x14ac:dyDescent="0.3">
      <c r="A92" s="6" t="str">
        <f>IF($B92="","",76)</f>
        <v/>
      </c>
      <c r="B92" s="7" t="str">
        <f>IFERROR(INDEX('All Data'!$B$2:$B$419,MATCH(76,Engine!$X$2:$X$419,0))&amp;"","")</f>
        <v/>
      </c>
      <c r="C92" s="7" t="str">
        <f>IFERROR(INDEX('All Data'!$C$2:$C$419,MATCH(76,Engine!$X$2:$X$419,0))&amp;"","")</f>
        <v/>
      </c>
      <c r="D92" s="8" t="str">
        <f>IFERROR(INDEX('All Data'!$D$2:$D$419,MATCH(76,Engine!$X$2:$X$419,0))&amp;"","")</f>
        <v/>
      </c>
      <c r="E92" s="7" t="str">
        <f>IFERROR(INDEX('All Data'!$E$2:$E$419,MATCH(76,Engine!$X$2:$X$419,0))&amp;"","")</f>
        <v/>
      </c>
      <c r="F92" s="7" t="str">
        <f>IFERROR(INDEX('All Data'!$F$2:$F$419,MATCH(76,Engine!$X$2:$X$419,0))&amp;"","")</f>
        <v/>
      </c>
      <c r="G92" s="7" t="str">
        <f>IFERROR(INDEX('All Data'!$G$2:$G$419,MATCH(76,Engine!$X$2:$X$419,0))&amp;"","")</f>
        <v/>
      </c>
      <c r="H92" s="7" t="str">
        <f>IFERROR(INDEX('All Data'!$H$2:$H$419,MATCH(76,Engine!$X$2:$X$419,0))&amp;"","")</f>
        <v/>
      </c>
      <c r="I92" s="9" t="str">
        <f>IFERROR(INDEX('All Data'!$I$2:$I$419,MATCH(76,Engine!$X$2:$X$419,0)),"")</f>
        <v/>
      </c>
    </row>
    <row r="93" spans="1:9" x14ac:dyDescent="0.3">
      <c r="A93" s="6" t="str">
        <f>IF($B93="","",77)</f>
        <v/>
      </c>
      <c r="B93" s="7" t="str">
        <f>IFERROR(INDEX('All Data'!$B$2:$B$419,MATCH(77,Engine!$X$2:$X$419,0))&amp;"","")</f>
        <v/>
      </c>
      <c r="C93" s="7" t="str">
        <f>IFERROR(INDEX('All Data'!$C$2:$C$419,MATCH(77,Engine!$X$2:$X$419,0))&amp;"","")</f>
        <v/>
      </c>
      <c r="D93" s="8" t="str">
        <f>IFERROR(INDEX('All Data'!$D$2:$D$419,MATCH(77,Engine!$X$2:$X$419,0))&amp;"","")</f>
        <v/>
      </c>
      <c r="E93" s="7" t="str">
        <f>IFERROR(INDEX('All Data'!$E$2:$E$419,MATCH(77,Engine!$X$2:$X$419,0))&amp;"","")</f>
        <v/>
      </c>
      <c r="F93" s="7" t="str">
        <f>IFERROR(INDEX('All Data'!$F$2:$F$419,MATCH(77,Engine!$X$2:$X$419,0))&amp;"","")</f>
        <v/>
      </c>
      <c r="G93" s="7" t="str">
        <f>IFERROR(INDEX('All Data'!$G$2:$G$419,MATCH(77,Engine!$X$2:$X$419,0))&amp;"","")</f>
        <v/>
      </c>
      <c r="H93" s="7" t="str">
        <f>IFERROR(INDEX('All Data'!$H$2:$H$419,MATCH(77,Engine!$X$2:$X$419,0))&amp;"","")</f>
        <v/>
      </c>
      <c r="I93" s="9" t="str">
        <f>IFERROR(INDEX('All Data'!$I$2:$I$419,MATCH(77,Engine!$X$2:$X$419,0)),"")</f>
        <v/>
      </c>
    </row>
    <row r="94" spans="1:9" x14ac:dyDescent="0.3">
      <c r="A94" s="6" t="str">
        <f>IF($B94="","",78)</f>
        <v/>
      </c>
      <c r="B94" s="7" t="str">
        <f>IFERROR(INDEX('All Data'!$B$2:$B$419,MATCH(78,Engine!$X$2:$X$419,0))&amp;"","")</f>
        <v/>
      </c>
      <c r="C94" s="7" t="str">
        <f>IFERROR(INDEX('All Data'!$C$2:$C$419,MATCH(78,Engine!$X$2:$X$419,0))&amp;"","")</f>
        <v/>
      </c>
      <c r="D94" s="8" t="str">
        <f>IFERROR(INDEX('All Data'!$D$2:$D$419,MATCH(78,Engine!$X$2:$X$419,0))&amp;"","")</f>
        <v/>
      </c>
      <c r="E94" s="7" t="str">
        <f>IFERROR(INDEX('All Data'!$E$2:$E$419,MATCH(78,Engine!$X$2:$X$419,0))&amp;"","")</f>
        <v/>
      </c>
      <c r="F94" s="7" t="str">
        <f>IFERROR(INDEX('All Data'!$F$2:$F$419,MATCH(78,Engine!$X$2:$X$419,0))&amp;"","")</f>
        <v/>
      </c>
      <c r="G94" s="7" t="str">
        <f>IFERROR(INDEX('All Data'!$G$2:$G$419,MATCH(78,Engine!$X$2:$X$419,0))&amp;"","")</f>
        <v/>
      </c>
      <c r="H94" s="7" t="str">
        <f>IFERROR(INDEX('All Data'!$H$2:$H$419,MATCH(78,Engine!$X$2:$X$419,0))&amp;"","")</f>
        <v/>
      </c>
      <c r="I94" s="9" t="str">
        <f>IFERROR(INDEX('All Data'!$I$2:$I$419,MATCH(78,Engine!$X$2:$X$419,0)),"")</f>
        <v/>
      </c>
    </row>
    <row r="95" spans="1:9" x14ac:dyDescent="0.3">
      <c r="A95" s="6" t="str">
        <f>IF($B95="","",79)</f>
        <v/>
      </c>
      <c r="B95" s="7" t="str">
        <f>IFERROR(INDEX('All Data'!$B$2:$B$419,MATCH(79,Engine!$X$2:$X$419,0))&amp;"","")</f>
        <v/>
      </c>
      <c r="C95" s="7" t="str">
        <f>IFERROR(INDEX('All Data'!$C$2:$C$419,MATCH(79,Engine!$X$2:$X$419,0))&amp;"","")</f>
        <v/>
      </c>
      <c r="D95" s="8" t="str">
        <f>IFERROR(INDEX('All Data'!$D$2:$D$419,MATCH(79,Engine!$X$2:$X$419,0))&amp;"","")</f>
        <v/>
      </c>
      <c r="E95" s="7" t="str">
        <f>IFERROR(INDEX('All Data'!$E$2:$E$419,MATCH(79,Engine!$X$2:$X$419,0))&amp;"","")</f>
        <v/>
      </c>
      <c r="F95" s="7" t="str">
        <f>IFERROR(INDEX('All Data'!$F$2:$F$419,MATCH(79,Engine!$X$2:$X$419,0))&amp;"","")</f>
        <v/>
      </c>
      <c r="G95" s="7" t="str">
        <f>IFERROR(INDEX('All Data'!$G$2:$G$419,MATCH(79,Engine!$X$2:$X$419,0))&amp;"","")</f>
        <v/>
      </c>
      <c r="H95" s="7" t="str">
        <f>IFERROR(INDEX('All Data'!$H$2:$H$419,MATCH(79,Engine!$X$2:$X$419,0))&amp;"","")</f>
        <v/>
      </c>
      <c r="I95" s="9" t="str">
        <f>IFERROR(INDEX('All Data'!$I$2:$I$419,MATCH(79,Engine!$X$2:$X$419,0)),"")</f>
        <v/>
      </c>
    </row>
    <row r="96" spans="1:9" x14ac:dyDescent="0.3">
      <c r="A96" s="6" t="str">
        <f>IF($B96="","",80)</f>
        <v/>
      </c>
      <c r="B96" s="7" t="str">
        <f>IFERROR(INDEX('All Data'!$B$2:$B$419,MATCH(80,Engine!$X$2:$X$419,0))&amp;"","")</f>
        <v/>
      </c>
      <c r="C96" s="7" t="str">
        <f>IFERROR(INDEX('All Data'!$C$2:$C$419,MATCH(80,Engine!$X$2:$X$419,0))&amp;"","")</f>
        <v/>
      </c>
      <c r="D96" s="8" t="str">
        <f>IFERROR(INDEX('All Data'!$D$2:$D$419,MATCH(80,Engine!$X$2:$X$419,0))&amp;"","")</f>
        <v/>
      </c>
      <c r="E96" s="7" t="str">
        <f>IFERROR(INDEX('All Data'!$E$2:$E$419,MATCH(80,Engine!$X$2:$X$419,0))&amp;"","")</f>
        <v/>
      </c>
      <c r="F96" s="7" t="str">
        <f>IFERROR(INDEX('All Data'!$F$2:$F$419,MATCH(80,Engine!$X$2:$X$419,0))&amp;"","")</f>
        <v/>
      </c>
      <c r="G96" s="7" t="str">
        <f>IFERROR(INDEX('All Data'!$G$2:$G$419,MATCH(80,Engine!$X$2:$X$419,0))&amp;"","")</f>
        <v/>
      </c>
      <c r="H96" s="7" t="str">
        <f>IFERROR(INDEX('All Data'!$H$2:$H$419,MATCH(80,Engine!$X$2:$X$419,0))&amp;"","")</f>
        <v/>
      </c>
      <c r="I96" s="9" t="str">
        <f>IFERROR(INDEX('All Data'!$I$2:$I$419,MATCH(80,Engine!$X$2:$X$419,0)),"")</f>
        <v/>
      </c>
    </row>
    <row r="97" spans="1:9" x14ac:dyDescent="0.3">
      <c r="A97" s="6" t="str">
        <f>IF($B97="","",81)</f>
        <v/>
      </c>
      <c r="B97" s="7" t="str">
        <f>IFERROR(INDEX('All Data'!$B$2:$B$419,MATCH(81,Engine!$X$2:$X$419,0))&amp;"","")</f>
        <v/>
      </c>
      <c r="C97" s="7" t="str">
        <f>IFERROR(INDEX('All Data'!$C$2:$C$419,MATCH(81,Engine!$X$2:$X$419,0))&amp;"","")</f>
        <v/>
      </c>
      <c r="D97" s="8" t="str">
        <f>IFERROR(INDEX('All Data'!$D$2:$D$419,MATCH(81,Engine!$X$2:$X$419,0))&amp;"","")</f>
        <v/>
      </c>
      <c r="E97" s="7" t="str">
        <f>IFERROR(INDEX('All Data'!$E$2:$E$419,MATCH(81,Engine!$X$2:$X$419,0))&amp;"","")</f>
        <v/>
      </c>
      <c r="F97" s="7" t="str">
        <f>IFERROR(INDEX('All Data'!$F$2:$F$419,MATCH(81,Engine!$X$2:$X$419,0))&amp;"","")</f>
        <v/>
      </c>
      <c r="G97" s="7" t="str">
        <f>IFERROR(INDEX('All Data'!$G$2:$G$419,MATCH(81,Engine!$X$2:$X$419,0))&amp;"","")</f>
        <v/>
      </c>
      <c r="H97" s="7" t="str">
        <f>IFERROR(INDEX('All Data'!$H$2:$H$419,MATCH(81,Engine!$X$2:$X$419,0))&amp;"","")</f>
        <v/>
      </c>
      <c r="I97" s="9" t="str">
        <f>IFERROR(INDEX('All Data'!$I$2:$I$419,MATCH(81,Engine!$X$2:$X$419,0)),"")</f>
        <v/>
      </c>
    </row>
    <row r="98" spans="1:9" x14ac:dyDescent="0.3">
      <c r="A98" s="6" t="str">
        <f>IF($B98="","",82)</f>
        <v/>
      </c>
      <c r="B98" s="7" t="str">
        <f>IFERROR(INDEX('All Data'!$B$2:$B$419,MATCH(82,Engine!$X$2:$X$419,0))&amp;"","")</f>
        <v/>
      </c>
      <c r="C98" s="7" t="str">
        <f>IFERROR(INDEX('All Data'!$C$2:$C$419,MATCH(82,Engine!$X$2:$X$419,0))&amp;"","")</f>
        <v/>
      </c>
      <c r="D98" s="8" t="str">
        <f>IFERROR(INDEX('All Data'!$D$2:$D$419,MATCH(82,Engine!$X$2:$X$419,0))&amp;"","")</f>
        <v/>
      </c>
      <c r="E98" s="7" t="str">
        <f>IFERROR(INDEX('All Data'!$E$2:$E$419,MATCH(82,Engine!$X$2:$X$419,0))&amp;"","")</f>
        <v/>
      </c>
      <c r="F98" s="7" t="str">
        <f>IFERROR(INDEX('All Data'!$F$2:$F$419,MATCH(82,Engine!$X$2:$X$419,0))&amp;"","")</f>
        <v/>
      </c>
      <c r="G98" s="7" t="str">
        <f>IFERROR(INDEX('All Data'!$G$2:$G$419,MATCH(82,Engine!$X$2:$X$419,0))&amp;"","")</f>
        <v/>
      </c>
      <c r="H98" s="7" t="str">
        <f>IFERROR(INDEX('All Data'!$H$2:$H$419,MATCH(82,Engine!$X$2:$X$419,0))&amp;"","")</f>
        <v/>
      </c>
      <c r="I98" s="9" t="str">
        <f>IFERROR(INDEX('All Data'!$I$2:$I$419,MATCH(82,Engine!$X$2:$X$419,0)),"")</f>
        <v/>
      </c>
    </row>
    <row r="99" spans="1:9" x14ac:dyDescent="0.3">
      <c r="A99" s="6" t="str">
        <f>IF($B99="","",83)</f>
        <v/>
      </c>
      <c r="B99" s="7" t="str">
        <f>IFERROR(INDEX('All Data'!$B$2:$B$419,MATCH(83,Engine!$X$2:$X$419,0))&amp;"","")</f>
        <v/>
      </c>
      <c r="C99" s="7" t="str">
        <f>IFERROR(INDEX('All Data'!$C$2:$C$419,MATCH(83,Engine!$X$2:$X$419,0))&amp;"","")</f>
        <v/>
      </c>
      <c r="D99" s="8" t="str">
        <f>IFERROR(INDEX('All Data'!$D$2:$D$419,MATCH(83,Engine!$X$2:$X$419,0))&amp;"","")</f>
        <v/>
      </c>
      <c r="E99" s="7" t="str">
        <f>IFERROR(INDEX('All Data'!$E$2:$E$419,MATCH(83,Engine!$X$2:$X$419,0))&amp;"","")</f>
        <v/>
      </c>
      <c r="F99" s="7" t="str">
        <f>IFERROR(INDEX('All Data'!$F$2:$F$419,MATCH(83,Engine!$X$2:$X$419,0))&amp;"","")</f>
        <v/>
      </c>
      <c r="G99" s="7" t="str">
        <f>IFERROR(INDEX('All Data'!$G$2:$G$419,MATCH(83,Engine!$X$2:$X$419,0))&amp;"","")</f>
        <v/>
      </c>
      <c r="H99" s="7" t="str">
        <f>IFERROR(INDEX('All Data'!$H$2:$H$419,MATCH(83,Engine!$X$2:$X$419,0))&amp;"","")</f>
        <v/>
      </c>
      <c r="I99" s="9" t="str">
        <f>IFERROR(INDEX('All Data'!$I$2:$I$419,MATCH(83,Engine!$X$2:$X$419,0)),"")</f>
        <v/>
      </c>
    </row>
    <row r="100" spans="1:9" x14ac:dyDescent="0.3">
      <c r="A100" s="6" t="str">
        <f>IF($B100="","",84)</f>
        <v/>
      </c>
      <c r="B100" s="7" t="str">
        <f>IFERROR(INDEX('All Data'!$B$2:$B$419,MATCH(84,Engine!$X$2:$X$419,0))&amp;"","")</f>
        <v/>
      </c>
      <c r="C100" s="7" t="str">
        <f>IFERROR(INDEX('All Data'!$C$2:$C$419,MATCH(84,Engine!$X$2:$X$419,0))&amp;"","")</f>
        <v/>
      </c>
      <c r="D100" s="8" t="str">
        <f>IFERROR(INDEX('All Data'!$D$2:$D$419,MATCH(84,Engine!$X$2:$X$419,0))&amp;"","")</f>
        <v/>
      </c>
      <c r="E100" s="7" t="str">
        <f>IFERROR(INDEX('All Data'!$E$2:$E$419,MATCH(84,Engine!$X$2:$X$419,0))&amp;"","")</f>
        <v/>
      </c>
      <c r="F100" s="7" t="str">
        <f>IFERROR(INDEX('All Data'!$F$2:$F$419,MATCH(84,Engine!$X$2:$X$419,0))&amp;"","")</f>
        <v/>
      </c>
      <c r="G100" s="7" t="str">
        <f>IFERROR(INDEX('All Data'!$G$2:$G$419,MATCH(84,Engine!$X$2:$X$419,0))&amp;"","")</f>
        <v/>
      </c>
      <c r="H100" s="7" t="str">
        <f>IFERROR(INDEX('All Data'!$H$2:$H$419,MATCH(84,Engine!$X$2:$X$419,0))&amp;"","")</f>
        <v/>
      </c>
      <c r="I100" s="9" t="str">
        <f>IFERROR(INDEX('All Data'!$I$2:$I$419,MATCH(84,Engine!$X$2:$X$419,0)),"")</f>
        <v/>
      </c>
    </row>
    <row r="101" spans="1:9" x14ac:dyDescent="0.3">
      <c r="A101" s="6" t="str">
        <f>IF($B101="","",85)</f>
        <v/>
      </c>
      <c r="B101" s="7" t="str">
        <f>IFERROR(INDEX('All Data'!$B$2:$B$419,MATCH(85,Engine!$X$2:$X$419,0))&amp;"","")</f>
        <v/>
      </c>
      <c r="C101" s="7" t="str">
        <f>IFERROR(INDEX('All Data'!$C$2:$C$419,MATCH(85,Engine!$X$2:$X$419,0))&amp;"","")</f>
        <v/>
      </c>
      <c r="D101" s="8" t="str">
        <f>IFERROR(INDEX('All Data'!$D$2:$D$419,MATCH(85,Engine!$X$2:$X$419,0))&amp;"","")</f>
        <v/>
      </c>
      <c r="E101" s="7" t="str">
        <f>IFERROR(INDEX('All Data'!$E$2:$E$419,MATCH(85,Engine!$X$2:$X$419,0))&amp;"","")</f>
        <v/>
      </c>
      <c r="F101" s="7" t="str">
        <f>IFERROR(INDEX('All Data'!$F$2:$F$419,MATCH(85,Engine!$X$2:$X$419,0))&amp;"","")</f>
        <v/>
      </c>
      <c r="G101" s="7" t="str">
        <f>IFERROR(INDEX('All Data'!$G$2:$G$419,MATCH(85,Engine!$X$2:$X$419,0))&amp;"","")</f>
        <v/>
      </c>
      <c r="H101" s="7" t="str">
        <f>IFERROR(INDEX('All Data'!$H$2:$H$419,MATCH(85,Engine!$X$2:$X$419,0))&amp;"","")</f>
        <v/>
      </c>
      <c r="I101" s="9" t="str">
        <f>IFERROR(INDEX('All Data'!$I$2:$I$419,MATCH(85,Engine!$X$2:$X$419,0)),"")</f>
        <v/>
      </c>
    </row>
    <row r="102" spans="1:9" x14ac:dyDescent="0.3">
      <c r="A102" s="6" t="str">
        <f>IF($B102="","",86)</f>
        <v/>
      </c>
      <c r="B102" s="7" t="str">
        <f>IFERROR(INDEX('All Data'!$B$2:$B$419,MATCH(86,Engine!$X$2:$X$419,0))&amp;"","")</f>
        <v/>
      </c>
      <c r="C102" s="7" t="str">
        <f>IFERROR(INDEX('All Data'!$C$2:$C$419,MATCH(86,Engine!$X$2:$X$419,0))&amp;"","")</f>
        <v/>
      </c>
      <c r="D102" s="8" t="str">
        <f>IFERROR(INDEX('All Data'!$D$2:$D$419,MATCH(86,Engine!$X$2:$X$419,0))&amp;"","")</f>
        <v/>
      </c>
      <c r="E102" s="7" t="str">
        <f>IFERROR(INDEX('All Data'!$E$2:$E$419,MATCH(86,Engine!$X$2:$X$419,0))&amp;"","")</f>
        <v/>
      </c>
      <c r="F102" s="7" t="str">
        <f>IFERROR(INDEX('All Data'!$F$2:$F$419,MATCH(86,Engine!$X$2:$X$419,0))&amp;"","")</f>
        <v/>
      </c>
      <c r="G102" s="7" t="str">
        <f>IFERROR(INDEX('All Data'!$G$2:$G$419,MATCH(86,Engine!$X$2:$X$419,0))&amp;"","")</f>
        <v/>
      </c>
      <c r="H102" s="7" t="str">
        <f>IFERROR(INDEX('All Data'!$H$2:$H$419,MATCH(86,Engine!$X$2:$X$419,0))&amp;"","")</f>
        <v/>
      </c>
      <c r="I102" s="9" t="str">
        <f>IFERROR(INDEX('All Data'!$I$2:$I$419,MATCH(86,Engine!$X$2:$X$419,0)),"")</f>
        <v/>
      </c>
    </row>
    <row r="103" spans="1:9" x14ac:dyDescent="0.3">
      <c r="A103" s="6" t="str">
        <f>IF($B103="","",87)</f>
        <v/>
      </c>
      <c r="B103" s="7" t="str">
        <f>IFERROR(INDEX('All Data'!$B$2:$B$419,MATCH(87,Engine!$X$2:$X$419,0))&amp;"","")</f>
        <v/>
      </c>
      <c r="C103" s="7" t="str">
        <f>IFERROR(INDEX('All Data'!$C$2:$C$419,MATCH(87,Engine!$X$2:$X$419,0))&amp;"","")</f>
        <v/>
      </c>
      <c r="D103" s="8" t="str">
        <f>IFERROR(INDEX('All Data'!$D$2:$D$419,MATCH(87,Engine!$X$2:$X$419,0))&amp;"","")</f>
        <v/>
      </c>
      <c r="E103" s="7" t="str">
        <f>IFERROR(INDEX('All Data'!$E$2:$E$419,MATCH(87,Engine!$X$2:$X$419,0))&amp;"","")</f>
        <v/>
      </c>
      <c r="F103" s="7" t="str">
        <f>IFERROR(INDEX('All Data'!$F$2:$F$419,MATCH(87,Engine!$X$2:$X$419,0))&amp;"","")</f>
        <v/>
      </c>
      <c r="G103" s="7" t="str">
        <f>IFERROR(INDEX('All Data'!$G$2:$G$419,MATCH(87,Engine!$X$2:$X$419,0))&amp;"","")</f>
        <v/>
      </c>
      <c r="H103" s="7" t="str">
        <f>IFERROR(INDEX('All Data'!$H$2:$H$419,MATCH(87,Engine!$X$2:$X$419,0))&amp;"","")</f>
        <v/>
      </c>
      <c r="I103" s="9" t="str">
        <f>IFERROR(INDEX('All Data'!$I$2:$I$419,MATCH(87,Engine!$X$2:$X$419,0)),"")</f>
        <v/>
      </c>
    </row>
    <row r="104" spans="1:9" x14ac:dyDescent="0.3">
      <c r="A104" s="6" t="str">
        <f>IF($B104="","",88)</f>
        <v/>
      </c>
      <c r="B104" s="7" t="str">
        <f>IFERROR(INDEX('All Data'!$B$2:$B$419,MATCH(88,Engine!$X$2:$X$419,0))&amp;"","")</f>
        <v/>
      </c>
      <c r="C104" s="7" t="str">
        <f>IFERROR(INDEX('All Data'!$C$2:$C$419,MATCH(88,Engine!$X$2:$X$419,0))&amp;"","")</f>
        <v/>
      </c>
      <c r="D104" s="8" t="str">
        <f>IFERROR(INDEX('All Data'!$D$2:$D$419,MATCH(88,Engine!$X$2:$X$419,0))&amp;"","")</f>
        <v/>
      </c>
      <c r="E104" s="7" t="str">
        <f>IFERROR(INDEX('All Data'!$E$2:$E$419,MATCH(88,Engine!$X$2:$X$419,0))&amp;"","")</f>
        <v/>
      </c>
      <c r="F104" s="7" t="str">
        <f>IFERROR(INDEX('All Data'!$F$2:$F$419,MATCH(88,Engine!$X$2:$X$419,0))&amp;"","")</f>
        <v/>
      </c>
      <c r="G104" s="7" t="str">
        <f>IFERROR(INDEX('All Data'!$G$2:$G$419,MATCH(88,Engine!$X$2:$X$419,0))&amp;"","")</f>
        <v/>
      </c>
      <c r="H104" s="7" t="str">
        <f>IFERROR(INDEX('All Data'!$H$2:$H$419,MATCH(88,Engine!$X$2:$X$419,0))&amp;"","")</f>
        <v/>
      </c>
      <c r="I104" s="9" t="str">
        <f>IFERROR(INDEX('All Data'!$I$2:$I$419,MATCH(88,Engine!$X$2:$X$419,0)),"")</f>
        <v/>
      </c>
    </row>
    <row r="105" spans="1:9" x14ac:dyDescent="0.3">
      <c r="A105" s="6" t="str">
        <f>IF($B105="","",89)</f>
        <v/>
      </c>
      <c r="B105" s="7" t="str">
        <f>IFERROR(INDEX('All Data'!$B$2:$B$419,MATCH(89,Engine!$X$2:$X$419,0))&amp;"","")</f>
        <v/>
      </c>
      <c r="C105" s="7" t="str">
        <f>IFERROR(INDEX('All Data'!$C$2:$C$419,MATCH(89,Engine!$X$2:$X$419,0))&amp;"","")</f>
        <v/>
      </c>
      <c r="D105" s="8" t="str">
        <f>IFERROR(INDEX('All Data'!$D$2:$D$419,MATCH(89,Engine!$X$2:$X$419,0))&amp;"","")</f>
        <v/>
      </c>
      <c r="E105" s="7" t="str">
        <f>IFERROR(INDEX('All Data'!$E$2:$E$419,MATCH(89,Engine!$X$2:$X$419,0))&amp;"","")</f>
        <v/>
      </c>
      <c r="F105" s="7" t="str">
        <f>IFERROR(INDEX('All Data'!$F$2:$F$419,MATCH(89,Engine!$X$2:$X$419,0))&amp;"","")</f>
        <v/>
      </c>
      <c r="G105" s="7" t="str">
        <f>IFERROR(INDEX('All Data'!$G$2:$G$419,MATCH(89,Engine!$X$2:$X$419,0))&amp;"","")</f>
        <v/>
      </c>
      <c r="H105" s="7" t="str">
        <f>IFERROR(INDEX('All Data'!$H$2:$H$419,MATCH(89,Engine!$X$2:$X$419,0))&amp;"","")</f>
        <v/>
      </c>
      <c r="I105" s="9" t="str">
        <f>IFERROR(INDEX('All Data'!$I$2:$I$419,MATCH(89,Engine!$X$2:$X$419,0)),"")</f>
        <v/>
      </c>
    </row>
    <row r="106" spans="1:9" x14ac:dyDescent="0.3">
      <c r="A106" s="6" t="str">
        <f>IF($B106="","",90)</f>
        <v/>
      </c>
      <c r="B106" s="7" t="str">
        <f>IFERROR(INDEX('All Data'!$B$2:$B$419,MATCH(90,Engine!$X$2:$X$419,0))&amp;"","")</f>
        <v/>
      </c>
      <c r="C106" s="7" t="str">
        <f>IFERROR(INDEX('All Data'!$C$2:$C$419,MATCH(90,Engine!$X$2:$X$419,0))&amp;"","")</f>
        <v/>
      </c>
      <c r="D106" s="8" t="str">
        <f>IFERROR(INDEX('All Data'!$D$2:$D$419,MATCH(90,Engine!$X$2:$X$419,0))&amp;"","")</f>
        <v/>
      </c>
      <c r="E106" s="7" t="str">
        <f>IFERROR(INDEX('All Data'!$E$2:$E$419,MATCH(90,Engine!$X$2:$X$419,0))&amp;"","")</f>
        <v/>
      </c>
      <c r="F106" s="7" t="str">
        <f>IFERROR(INDEX('All Data'!$F$2:$F$419,MATCH(90,Engine!$X$2:$X$419,0))&amp;"","")</f>
        <v/>
      </c>
      <c r="G106" s="7" t="str">
        <f>IFERROR(INDEX('All Data'!$G$2:$G$419,MATCH(90,Engine!$X$2:$X$419,0))&amp;"","")</f>
        <v/>
      </c>
      <c r="H106" s="7" t="str">
        <f>IFERROR(INDEX('All Data'!$H$2:$H$419,MATCH(90,Engine!$X$2:$X$419,0))&amp;"","")</f>
        <v/>
      </c>
      <c r="I106" s="9" t="str">
        <f>IFERROR(INDEX('All Data'!$I$2:$I$419,MATCH(90,Engine!$X$2:$X$419,0)),"")</f>
        <v/>
      </c>
    </row>
    <row r="107" spans="1:9" x14ac:dyDescent="0.3">
      <c r="A107" s="6" t="str">
        <f>IF($B107="","",91)</f>
        <v/>
      </c>
      <c r="B107" s="7" t="str">
        <f>IFERROR(INDEX('All Data'!$B$2:$B$419,MATCH(91,Engine!$X$2:$X$419,0))&amp;"","")</f>
        <v/>
      </c>
      <c r="C107" s="7" t="str">
        <f>IFERROR(INDEX('All Data'!$C$2:$C$419,MATCH(91,Engine!$X$2:$X$419,0))&amp;"","")</f>
        <v/>
      </c>
      <c r="D107" s="8" t="str">
        <f>IFERROR(INDEX('All Data'!$D$2:$D$419,MATCH(91,Engine!$X$2:$X$419,0))&amp;"","")</f>
        <v/>
      </c>
      <c r="E107" s="7" t="str">
        <f>IFERROR(INDEX('All Data'!$E$2:$E$419,MATCH(91,Engine!$X$2:$X$419,0))&amp;"","")</f>
        <v/>
      </c>
      <c r="F107" s="7" t="str">
        <f>IFERROR(INDEX('All Data'!$F$2:$F$419,MATCH(91,Engine!$X$2:$X$419,0))&amp;"","")</f>
        <v/>
      </c>
      <c r="G107" s="7" t="str">
        <f>IFERROR(INDEX('All Data'!$G$2:$G$419,MATCH(91,Engine!$X$2:$X$419,0))&amp;"","")</f>
        <v/>
      </c>
      <c r="H107" s="7" t="str">
        <f>IFERROR(INDEX('All Data'!$H$2:$H$419,MATCH(91,Engine!$X$2:$X$419,0))&amp;"","")</f>
        <v/>
      </c>
      <c r="I107" s="9" t="str">
        <f>IFERROR(INDEX('All Data'!$I$2:$I$419,MATCH(91,Engine!$X$2:$X$419,0)),"")</f>
        <v/>
      </c>
    </row>
    <row r="108" spans="1:9" x14ac:dyDescent="0.3">
      <c r="A108" s="6" t="str">
        <f>IF($B108="","",92)</f>
        <v/>
      </c>
      <c r="B108" s="7" t="str">
        <f>IFERROR(INDEX('All Data'!$B$2:$B$419,MATCH(92,Engine!$X$2:$X$419,0))&amp;"","")</f>
        <v/>
      </c>
      <c r="C108" s="7" t="str">
        <f>IFERROR(INDEX('All Data'!$C$2:$C$419,MATCH(92,Engine!$X$2:$X$419,0))&amp;"","")</f>
        <v/>
      </c>
      <c r="D108" s="8" t="str">
        <f>IFERROR(INDEX('All Data'!$D$2:$D$419,MATCH(92,Engine!$X$2:$X$419,0))&amp;"","")</f>
        <v/>
      </c>
      <c r="E108" s="7" t="str">
        <f>IFERROR(INDEX('All Data'!$E$2:$E$419,MATCH(92,Engine!$X$2:$X$419,0))&amp;"","")</f>
        <v/>
      </c>
      <c r="F108" s="7" t="str">
        <f>IFERROR(INDEX('All Data'!$F$2:$F$419,MATCH(92,Engine!$X$2:$X$419,0))&amp;"","")</f>
        <v/>
      </c>
      <c r="G108" s="7" t="str">
        <f>IFERROR(INDEX('All Data'!$G$2:$G$419,MATCH(92,Engine!$X$2:$X$419,0))&amp;"","")</f>
        <v/>
      </c>
      <c r="H108" s="7" t="str">
        <f>IFERROR(INDEX('All Data'!$H$2:$H$419,MATCH(92,Engine!$X$2:$X$419,0))&amp;"","")</f>
        <v/>
      </c>
      <c r="I108" s="9" t="str">
        <f>IFERROR(INDEX('All Data'!$I$2:$I$419,MATCH(92,Engine!$X$2:$X$419,0)),"")</f>
        <v/>
      </c>
    </row>
    <row r="109" spans="1:9" x14ac:dyDescent="0.3">
      <c r="A109" s="6" t="str">
        <f>IF($B109="","",93)</f>
        <v/>
      </c>
      <c r="B109" s="7" t="str">
        <f>IFERROR(INDEX('All Data'!$B$2:$B$419,MATCH(93,Engine!$X$2:$X$419,0))&amp;"","")</f>
        <v/>
      </c>
      <c r="C109" s="7" t="str">
        <f>IFERROR(INDEX('All Data'!$C$2:$C$419,MATCH(93,Engine!$X$2:$X$419,0))&amp;"","")</f>
        <v/>
      </c>
      <c r="D109" s="8" t="str">
        <f>IFERROR(INDEX('All Data'!$D$2:$D$419,MATCH(93,Engine!$X$2:$X$419,0))&amp;"","")</f>
        <v/>
      </c>
      <c r="E109" s="7" t="str">
        <f>IFERROR(INDEX('All Data'!$E$2:$E$419,MATCH(93,Engine!$X$2:$X$419,0))&amp;"","")</f>
        <v/>
      </c>
      <c r="F109" s="7" t="str">
        <f>IFERROR(INDEX('All Data'!$F$2:$F$419,MATCH(93,Engine!$X$2:$X$419,0))&amp;"","")</f>
        <v/>
      </c>
      <c r="G109" s="7" t="str">
        <f>IFERROR(INDEX('All Data'!$G$2:$G$419,MATCH(93,Engine!$X$2:$X$419,0))&amp;"","")</f>
        <v/>
      </c>
      <c r="H109" s="7" t="str">
        <f>IFERROR(INDEX('All Data'!$H$2:$H$419,MATCH(93,Engine!$X$2:$X$419,0))&amp;"","")</f>
        <v/>
      </c>
      <c r="I109" s="9" t="str">
        <f>IFERROR(INDEX('All Data'!$I$2:$I$419,MATCH(93,Engine!$X$2:$X$419,0)),"")</f>
        <v/>
      </c>
    </row>
    <row r="110" spans="1:9" x14ac:dyDescent="0.3">
      <c r="A110" s="6" t="str">
        <f>IF($B110="","",94)</f>
        <v/>
      </c>
      <c r="B110" s="7" t="str">
        <f>IFERROR(INDEX('All Data'!$B$2:$B$419,MATCH(94,Engine!$X$2:$X$419,0))&amp;"","")</f>
        <v/>
      </c>
      <c r="C110" s="7" t="str">
        <f>IFERROR(INDEX('All Data'!$C$2:$C$419,MATCH(94,Engine!$X$2:$X$419,0))&amp;"","")</f>
        <v/>
      </c>
      <c r="D110" s="8" t="str">
        <f>IFERROR(INDEX('All Data'!$D$2:$D$419,MATCH(94,Engine!$X$2:$X$419,0))&amp;"","")</f>
        <v/>
      </c>
      <c r="E110" s="7" t="str">
        <f>IFERROR(INDEX('All Data'!$E$2:$E$419,MATCH(94,Engine!$X$2:$X$419,0))&amp;"","")</f>
        <v/>
      </c>
      <c r="F110" s="7" t="str">
        <f>IFERROR(INDEX('All Data'!$F$2:$F$419,MATCH(94,Engine!$X$2:$X$419,0))&amp;"","")</f>
        <v/>
      </c>
      <c r="G110" s="7" t="str">
        <f>IFERROR(INDEX('All Data'!$G$2:$G$419,MATCH(94,Engine!$X$2:$X$419,0))&amp;"","")</f>
        <v/>
      </c>
      <c r="H110" s="7" t="str">
        <f>IFERROR(INDEX('All Data'!$H$2:$H$419,MATCH(94,Engine!$X$2:$X$419,0))&amp;"","")</f>
        <v/>
      </c>
      <c r="I110" s="9" t="str">
        <f>IFERROR(INDEX('All Data'!$I$2:$I$419,MATCH(94,Engine!$X$2:$X$419,0)),"")</f>
        <v/>
      </c>
    </row>
    <row r="111" spans="1:9" x14ac:dyDescent="0.3">
      <c r="A111" s="6" t="str">
        <f>IF($B111="","",95)</f>
        <v/>
      </c>
      <c r="B111" s="7" t="str">
        <f>IFERROR(INDEX('All Data'!$B$2:$B$419,MATCH(95,Engine!$X$2:$X$419,0))&amp;"","")</f>
        <v/>
      </c>
      <c r="C111" s="7" t="str">
        <f>IFERROR(INDEX('All Data'!$C$2:$C$419,MATCH(95,Engine!$X$2:$X$419,0))&amp;"","")</f>
        <v/>
      </c>
      <c r="D111" s="8" t="str">
        <f>IFERROR(INDEX('All Data'!$D$2:$D$419,MATCH(95,Engine!$X$2:$X$419,0))&amp;"","")</f>
        <v/>
      </c>
      <c r="E111" s="7" t="str">
        <f>IFERROR(INDEX('All Data'!$E$2:$E$419,MATCH(95,Engine!$X$2:$X$419,0))&amp;"","")</f>
        <v/>
      </c>
      <c r="F111" s="7" t="str">
        <f>IFERROR(INDEX('All Data'!$F$2:$F$419,MATCH(95,Engine!$X$2:$X$419,0))&amp;"","")</f>
        <v/>
      </c>
      <c r="G111" s="7" t="str">
        <f>IFERROR(INDEX('All Data'!$G$2:$G$419,MATCH(95,Engine!$X$2:$X$419,0))&amp;"","")</f>
        <v/>
      </c>
      <c r="H111" s="7" t="str">
        <f>IFERROR(INDEX('All Data'!$H$2:$H$419,MATCH(95,Engine!$X$2:$X$419,0))&amp;"","")</f>
        <v/>
      </c>
      <c r="I111" s="9" t="str">
        <f>IFERROR(INDEX('All Data'!$I$2:$I$419,MATCH(95,Engine!$X$2:$X$419,0)),"")</f>
        <v/>
      </c>
    </row>
    <row r="112" spans="1:9" x14ac:dyDescent="0.3">
      <c r="A112" s="6" t="str">
        <f>IF($B112="","",96)</f>
        <v/>
      </c>
      <c r="B112" s="7" t="str">
        <f>IFERROR(INDEX('All Data'!$B$2:$B$419,MATCH(96,Engine!$X$2:$X$419,0))&amp;"","")</f>
        <v/>
      </c>
      <c r="C112" s="7" t="str">
        <f>IFERROR(INDEX('All Data'!$C$2:$C$419,MATCH(96,Engine!$X$2:$X$419,0))&amp;"","")</f>
        <v/>
      </c>
      <c r="D112" s="8" t="str">
        <f>IFERROR(INDEX('All Data'!$D$2:$D$419,MATCH(96,Engine!$X$2:$X$419,0))&amp;"","")</f>
        <v/>
      </c>
      <c r="E112" s="7" t="str">
        <f>IFERROR(INDEX('All Data'!$E$2:$E$419,MATCH(96,Engine!$X$2:$X$419,0))&amp;"","")</f>
        <v/>
      </c>
      <c r="F112" s="7" t="str">
        <f>IFERROR(INDEX('All Data'!$F$2:$F$419,MATCH(96,Engine!$X$2:$X$419,0))&amp;"","")</f>
        <v/>
      </c>
      <c r="G112" s="7" t="str">
        <f>IFERROR(INDEX('All Data'!$G$2:$G$419,MATCH(96,Engine!$X$2:$X$419,0))&amp;"","")</f>
        <v/>
      </c>
      <c r="H112" s="7" t="str">
        <f>IFERROR(INDEX('All Data'!$H$2:$H$419,MATCH(96,Engine!$X$2:$X$419,0))&amp;"","")</f>
        <v/>
      </c>
      <c r="I112" s="9" t="str">
        <f>IFERROR(INDEX('All Data'!$I$2:$I$419,MATCH(96,Engine!$X$2:$X$419,0)),"")</f>
        <v/>
      </c>
    </row>
    <row r="113" spans="1:9" x14ac:dyDescent="0.3">
      <c r="A113" s="6" t="str">
        <f>IF($B113="","",97)</f>
        <v/>
      </c>
      <c r="B113" s="7" t="str">
        <f>IFERROR(INDEX('All Data'!$B$2:$B$419,MATCH(97,Engine!$X$2:$X$419,0))&amp;"","")</f>
        <v/>
      </c>
      <c r="C113" s="7" t="str">
        <f>IFERROR(INDEX('All Data'!$C$2:$C$419,MATCH(97,Engine!$X$2:$X$419,0))&amp;"","")</f>
        <v/>
      </c>
      <c r="D113" s="8" t="str">
        <f>IFERROR(INDEX('All Data'!$D$2:$D$419,MATCH(97,Engine!$X$2:$X$419,0))&amp;"","")</f>
        <v/>
      </c>
      <c r="E113" s="7" t="str">
        <f>IFERROR(INDEX('All Data'!$E$2:$E$419,MATCH(97,Engine!$X$2:$X$419,0))&amp;"","")</f>
        <v/>
      </c>
      <c r="F113" s="7" t="str">
        <f>IFERROR(INDEX('All Data'!$F$2:$F$419,MATCH(97,Engine!$X$2:$X$419,0))&amp;"","")</f>
        <v/>
      </c>
      <c r="G113" s="7" t="str">
        <f>IFERROR(INDEX('All Data'!$G$2:$G$419,MATCH(97,Engine!$X$2:$X$419,0))&amp;"","")</f>
        <v/>
      </c>
      <c r="H113" s="7" t="str">
        <f>IFERROR(INDEX('All Data'!$H$2:$H$419,MATCH(97,Engine!$X$2:$X$419,0))&amp;"","")</f>
        <v/>
      </c>
      <c r="I113" s="9" t="str">
        <f>IFERROR(INDEX('All Data'!$I$2:$I$419,MATCH(97,Engine!$X$2:$X$419,0)),"")</f>
        <v/>
      </c>
    </row>
    <row r="114" spans="1:9" x14ac:dyDescent="0.3">
      <c r="A114" s="6" t="str">
        <f>IF($B114="","",98)</f>
        <v/>
      </c>
      <c r="B114" s="7" t="str">
        <f>IFERROR(INDEX('All Data'!$B$2:$B$419,MATCH(98,Engine!$X$2:$X$419,0))&amp;"","")</f>
        <v/>
      </c>
      <c r="C114" s="7" t="str">
        <f>IFERROR(INDEX('All Data'!$C$2:$C$419,MATCH(98,Engine!$X$2:$X$419,0))&amp;"","")</f>
        <v/>
      </c>
      <c r="D114" s="8" t="str">
        <f>IFERROR(INDEX('All Data'!$D$2:$D$419,MATCH(98,Engine!$X$2:$X$419,0))&amp;"","")</f>
        <v/>
      </c>
      <c r="E114" s="7" t="str">
        <f>IFERROR(INDEX('All Data'!$E$2:$E$419,MATCH(98,Engine!$X$2:$X$419,0))&amp;"","")</f>
        <v/>
      </c>
      <c r="F114" s="7" t="str">
        <f>IFERROR(INDEX('All Data'!$F$2:$F$419,MATCH(98,Engine!$X$2:$X$419,0))&amp;"","")</f>
        <v/>
      </c>
      <c r="G114" s="7" t="str">
        <f>IFERROR(INDEX('All Data'!$G$2:$G$419,MATCH(98,Engine!$X$2:$X$419,0))&amp;"","")</f>
        <v/>
      </c>
      <c r="H114" s="7" t="str">
        <f>IFERROR(INDEX('All Data'!$H$2:$H$419,MATCH(98,Engine!$X$2:$X$419,0))&amp;"","")</f>
        <v/>
      </c>
      <c r="I114" s="9" t="str">
        <f>IFERROR(INDEX('All Data'!$I$2:$I$419,MATCH(98,Engine!$X$2:$X$419,0)),"")</f>
        <v/>
      </c>
    </row>
    <row r="115" spans="1:9" x14ac:dyDescent="0.3">
      <c r="A115" s="6" t="str">
        <f>IF($B115="","",99)</f>
        <v/>
      </c>
      <c r="B115" s="7" t="str">
        <f>IFERROR(INDEX('All Data'!$B$2:$B$419,MATCH(99,Engine!$X$2:$X$419,0))&amp;"","")</f>
        <v/>
      </c>
      <c r="C115" s="7" t="str">
        <f>IFERROR(INDEX('All Data'!$C$2:$C$419,MATCH(99,Engine!$X$2:$X$419,0))&amp;"","")</f>
        <v/>
      </c>
      <c r="D115" s="8" t="str">
        <f>IFERROR(INDEX('All Data'!$D$2:$D$419,MATCH(99,Engine!$X$2:$X$419,0))&amp;"","")</f>
        <v/>
      </c>
      <c r="E115" s="7" t="str">
        <f>IFERROR(INDEX('All Data'!$E$2:$E$419,MATCH(99,Engine!$X$2:$X$419,0))&amp;"","")</f>
        <v/>
      </c>
      <c r="F115" s="7" t="str">
        <f>IFERROR(INDEX('All Data'!$F$2:$F$419,MATCH(99,Engine!$X$2:$X$419,0))&amp;"","")</f>
        <v/>
      </c>
      <c r="G115" s="7" t="str">
        <f>IFERROR(INDEX('All Data'!$G$2:$G$419,MATCH(99,Engine!$X$2:$X$419,0))&amp;"","")</f>
        <v/>
      </c>
      <c r="H115" s="7" t="str">
        <f>IFERROR(INDEX('All Data'!$H$2:$H$419,MATCH(99,Engine!$X$2:$X$419,0))&amp;"","")</f>
        <v/>
      </c>
      <c r="I115" s="9" t="str">
        <f>IFERROR(INDEX('All Data'!$I$2:$I$419,MATCH(99,Engine!$X$2:$X$419,0)),"")</f>
        <v/>
      </c>
    </row>
    <row r="116" spans="1:9" x14ac:dyDescent="0.3">
      <c r="A116" s="6" t="str">
        <f>IF($B116="","",100)</f>
        <v/>
      </c>
      <c r="B116" s="7" t="str">
        <f>IFERROR(INDEX('All Data'!$B$2:$B$419,MATCH(100,Engine!$X$2:$X$419,0))&amp;"","")</f>
        <v/>
      </c>
      <c r="C116" s="7" t="str">
        <f>IFERROR(INDEX('All Data'!$C$2:$C$419,MATCH(100,Engine!$X$2:$X$419,0))&amp;"","")</f>
        <v/>
      </c>
      <c r="D116" s="8" t="str">
        <f>IFERROR(INDEX('All Data'!$D$2:$D$419,MATCH(100,Engine!$X$2:$X$419,0))&amp;"","")</f>
        <v/>
      </c>
      <c r="E116" s="7" t="str">
        <f>IFERROR(INDEX('All Data'!$E$2:$E$419,MATCH(100,Engine!$X$2:$X$419,0))&amp;"","")</f>
        <v/>
      </c>
      <c r="F116" s="7" t="str">
        <f>IFERROR(INDEX('All Data'!$F$2:$F$419,MATCH(100,Engine!$X$2:$X$419,0))&amp;"","")</f>
        <v/>
      </c>
      <c r="G116" s="7" t="str">
        <f>IFERROR(INDEX('All Data'!$G$2:$G$419,MATCH(100,Engine!$X$2:$X$419,0))&amp;"","")</f>
        <v/>
      </c>
      <c r="H116" s="7" t="str">
        <f>IFERROR(INDEX('All Data'!$H$2:$H$419,MATCH(100,Engine!$X$2:$X$419,0))&amp;"","")</f>
        <v/>
      </c>
      <c r="I116" s="9" t="str">
        <f>IFERROR(INDEX('All Data'!$I$2:$I$419,MATCH(100,Engine!$X$2:$X$419,0)),"")</f>
        <v/>
      </c>
    </row>
    <row r="118" spans="1:9" x14ac:dyDescent="0.3">
      <c r="B118" s="10" t="s">
        <v>20</v>
      </c>
    </row>
  </sheetData>
  <mergeCells count="7">
    <mergeCell ref="B13:C13"/>
    <mergeCell ref="B7:C7"/>
    <mergeCell ref="D7:E7"/>
    <mergeCell ref="F7:G7"/>
    <mergeCell ref="B10:C10"/>
    <mergeCell ref="D10:E10"/>
    <mergeCell ref="F10:G10"/>
  </mergeCells>
  <conditionalFormatting sqref="B7:C7">
    <cfRule type="expression" dxfId="6" priority="2">
      <formula>$K$1=1</formula>
    </cfRule>
  </conditionalFormatting>
  <conditionalFormatting sqref="B10:C10">
    <cfRule type="expression" dxfId="5" priority="5">
      <formula>$K$4=1</formula>
    </cfRule>
    <cfRule type="expression" dxfId="4" priority="6">
      <formula>$K$7=0</formula>
    </cfRule>
  </conditionalFormatting>
  <conditionalFormatting sqref="D7:E7">
    <cfRule type="expression" dxfId="3" priority="3">
      <formula>$K$2=1</formula>
    </cfRule>
  </conditionalFormatting>
  <conditionalFormatting sqref="D10:E10">
    <cfRule type="expression" dxfId="2" priority="7">
      <formula>$K$5=1</formula>
    </cfRule>
  </conditionalFormatting>
  <conditionalFormatting sqref="F7:G7">
    <cfRule type="expression" dxfId="1" priority="4">
      <formula>$K$3=1</formula>
    </cfRule>
  </conditionalFormatting>
  <conditionalFormatting sqref="F10:G10">
    <cfRule type="expression" dxfId="0" priority="8">
      <formula>$K$6=1</formula>
    </cfRule>
  </conditionalFormatting>
  <dataValidations count="6">
    <dataValidation type="list" allowBlank="1" showErrorMessage="1" errorTitle="Not in the list" error="Pick one of the offered choices, or Any." sqref="B7:C7" xr:uid="{00000000-0002-0000-0000-000000000000}">
      <formula1>ElementList</formula1>
      <formula2>0</formula2>
    </dataValidation>
    <dataValidation type="list" allowBlank="1" showErrorMessage="1" errorTitle="Not in the list" error="Pick one of the offered choices, or Any." sqref="D7:E7" xr:uid="{00000000-0002-0000-0000-000001000000}">
      <formula1>TypeList</formula1>
      <formula2>0</formula2>
    </dataValidation>
    <dataValidation type="list" allowBlank="1" showErrorMessage="1" errorTitle="Not in the list" error="Pick one of the offered choices, or Any." sqref="F7:G7" xr:uid="{00000000-0002-0000-0000-000002000000}">
      <formula1>ConstructionList</formula1>
      <formula2>0</formula2>
    </dataValidation>
    <dataValidation type="list" allowBlank="1" showErrorMessage="1" errorTitle="Not in the list" error="Pick one of the offered choices, or Any." sqref="B10:C10" xr:uid="{00000000-0002-0000-0000-000003000000}">
      <formula1>SubtypeList</formula1>
      <formula2>0</formula2>
    </dataValidation>
    <dataValidation type="list" allowBlank="1" showErrorMessage="1" errorTitle="Not in the list" error="Pick one of the offered choices, or Any." sqref="D10:E10" xr:uid="{00000000-0002-0000-0000-000004000000}">
      <formula1>RegionList</formula1>
      <formula2>0</formula2>
    </dataValidation>
    <dataValidation type="list" allowBlank="1" showErrorMessage="1" errorTitle="Not in the list" error="Pick one of the offered choices, or Any." sqref="F10:G10" xr:uid="{00000000-0002-0000-0000-000005000000}">
      <formula1>YearList</formula1>
      <formula2>0</formula2>
    </dataValidation>
  </dataValidations>
  <hyperlinks>
    <hyperlink ref="H2" r:id="rId1" xr:uid="{FA3CEA61-7B7B-467F-8608-91E1BF2A102F}"/>
  </hyperlink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CA3AF"/>
  </sheetPr>
  <dimension ref="A1:M423"/>
  <sheetViews>
    <sheetView showGridLines="0" zoomScaleNormal="100" workbookViewId="0">
      <pane xSplit="1" ySplit="1" topLeftCell="B2" activePane="bottomRight" state="frozen"/>
      <selection pane="topRight" activeCell="B1" sqref="B1"/>
      <selection pane="bottomLeft" activeCell="A2" sqref="A2"/>
      <selection pane="bottomRight" activeCell="A424" sqref="A424:XFD1048576"/>
    </sheetView>
  </sheetViews>
  <sheetFormatPr defaultColWidth="0" defaultRowHeight="14.4" zeroHeight="1" x14ac:dyDescent="0.3"/>
  <cols>
    <col min="1" max="1" width="9" customWidth="1"/>
    <col min="2" max="2" width="16" customWidth="1"/>
    <col min="3" max="3" width="24" customWidth="1"/>
    <col min="4" max="4" width="36" customWidth="1"/>
    <col min="5" max="5" width="10" customWidth="1"/>
    <col min="6" max="6" width="20" customWidth="1"/>
    <col min="7" max="7" width="22" customWidth="1"/>
    <col min="8" max="8" width="18" customWidth="1"/>
    <col min="9" max="9" width="15" customWidth="1"/>
    <col min="10" max="10" width="44" customWidth="1"/>
    <col min="11" max="12" width="40" hidden="1" customWidth="1"/>
    <col min="13" max="13" width="26" customWidth="1"/>
    <col min="14" max="16384" width="8.6640625" hidden="1"/>
  </cols>
  <sheetData>
    <row r="1" spans="1:13" ht="30" customHeight="1" x14ac:dyDescent="0.3">
      <c r="A1" s="23" t="s">
        <v>21</v>
      </c>
      <c r="B1" s="23" t="s">
        <v>12</v>
      </c>
      <c r="C1" s="23" t="s">
        <v>13</v>
      </c>
      <c r="D1" s="23" t="s">
        <v>14</v>
      </c>
      <c r="E1" s="23" t="s">
        <v>15</v>
      </c>
      <c r="F1" s="23" t="s">
        <v>16</v>
      </c>
      <c r="G1" s="23" t="s">
        <v>17</v>
      </c>
      <c r="H1" s="23" t="s">
        <v>22</v>
      </c>
      <c r="I1" s="23" t="s">
        <v>19</v>
      </c>
      <c r="J1" s="23" t="s">
        <v>23</v>
      </c>
      <c r="K1" s="23" t="s">
        <v>24</v>
      </c>
      <c r="L1" s="23" t="s">
        <v>25</v>
      </c>
      <c r="M1" s="23" t="s">
        <v>26</v>
      </c>
    </row>
    <row r="2" spans="1:13" x14ac:dyDescent="0.3">
      <c r="A2" s="11" t="s">
        <v>27</v>
      </c>
      <c r="B2" s="11" t="s">
        <v>28</v>
      </c>
      <c r="C2" s="11" t="s">
        <v>29</v>
      </c>
      <c r="D2" s="11" t="s">
        <v>30</v>
      </c>
      <c r="E2" s="11"/>
      <c r="F2" s="11" t="s">
        <v>31</v>
      </c>
      <c r="G2" s="11" t="s">
        <v>32</v>
      </c>
      <c r="H2" s="11"/>
      <c r="I2" s="12">
        <v>0.83</v>
      </c>
      <c r="J2" s="11"/>
      <c r="K2" s="11" t="s">
        <v>33</v>
      </c>
      <c r="L2" s="11" t="s">
        <v>34</v>
      </c>
      <c r="M2" s="13"/>
    </row>
    <row r="3" spans="1:13" x14ac:dyDescent="0.3">
      <c r="A3" s="11" t="s">
        <v>35</v>
      </c>
      <c r="B3" s="11" t="s">
        <v>28</v>
      </c>
      <c r="C3" s="11" t="s">
        <v>29</v>
      </c>
      <c r="D3" s="11" t="s">
        <v>36</v>
      </c>
      <c r="E3" s="11"/>
      <c r="F3" s="11" t="s">
        <v>37</v>
      </c>
      <c r="G3" s="11" t="s">
        <v>38</v>
      </c>
      <c r="H3" s="11"/>
      <c r="I3" s="12">
        <v>0.8</v>
      </c>
      <c r="J3" s="11"/>
      <c r="K3" s="11" t="s">
        <v>39</v>
      </c>
      <c r="L3" s="11" t="s">
        <v>34</v>
      </c>
      <c r="M3" s="13"/>
    </row>
    <row r="4" spans="1:13" x14ac:dyDescent="0.3">
      <c r="A4" s="11" t="s">
        <v>40</v>
      </c>
      <c r="B4" s="11" t="s">
        <v>28</v>
      </c>
      <c r="C4" s="11" t="s">
        <v>29</v>
      </c>
      <c r="D4" s="11" t="s">
        <v>36</v>
      </c>
      <c r="E4" s="11"/>
      <c r="F4" s="11" t="s">
        <v>37</v>
      </c>
      <c r="G4" s="11" t="s">
        <v>41</v>
      </c>
      <c r="H4" s="11"/>
      <c r="I4" s="12">
        <v>0.6</v>
      </c>
      <c r="J4" s="11"/>
      <c r="K4" s="11" t="s">
        <v>42</v>
      </c>
      <c r="L4" s="11" t="s">
        <v>34</v>
      </c>
      <c r="M4" s="13"/>
    </row>
    <row r="5" spans="1:13" x14ac:dyDescent="0.3">
      <c r="A5" s="11" t="s">
        <v>43</v>
      </c>
      <c r="B5" s="11" t="s">
        <v>28</v>
      </c>
      <c r="C5" s="11" t="s">
        <v>29</v>
      </c>
      <c r="D5" s="11" t="s">
        <v>36</v>
      </c>
      <c r="E5" s="11"/>
      <c r="F5" s="11" t="s">
        <v>31</v>
      </c>
      <c r="G5" s="11" t="s">
        <v>44</v>
      </c>
      <c r="H5" s="11"/>
      <c r="I5" s="12">
        <v>0.39</v>
      </c>
      <c r="J5" s="11"/>
      <c r="K5" s="11" t="s">
        <v>45</v>
      </c>
      <c r="L5" s="11" t="s">
        <v>34</v>
      </c>
      <c r="M5" s="13"/>
    </row>
    <row r="6" spans="1:13" x14ac:dyDescent="0.3">
      <c r="A6" s="11" t="s">
        <v>46</v>
      </c>
      <c r="B6" s="11" t="s">
        <v>28</v>
      </c>
      <c r="C6" s="11" t="s">
        <v>29</v>
      </c>
      <c r="D6" s="11" t="s">
        <v>36</v>
      </c>
      <c r="E6" s="11"/>
      <c r="F6" s="11" t="s">
        <v>31</v>
      </c>
      <c r="G6" s="11" t="s">
        <v>32</v>
      </c>
      <c r="H6" s="11"/>
      <c r="I6" s="12">
        <v>0.41</v>
      </c>
      <c r="J6" s="11"/>
      <c r="K6" s="11" t="s">
        <v>47</v>
      </c>
      <c r="L6" s="11" t="s">
        <v>34</v>
      </c>
      <c r="M6" s="13"/>
    </row>
    <row r="7" spans="1:13" x14ac:dyDescent="0.3">
      <c r="A7" s="11" t="s">
        <v>48</v>
      </c>
      <c r="B7" s="11" t="s">
        <v>28</v>
      </c>
      <c r="C7" s="11" t="s">
        <v>29</v>
      </c>
      <c r="D7" s="11" t="s">
        <v>49</v>
      </c>
      <c r="E7" s="11"/>
      <c r="F7" s="11" t="s">
        <v>31</v>
      </c>
      <c r="G7" s="11" t="s">
        <v>50</v>
      </c>
      <c r="H7" s="11"/>
      <c r="I7" s="12">
        <v>3.5</v>
      </c>
      <c r="J7" s="11"/>
      <c r="K7" s="11" t="s">
        <v>51</v>
      </c>
      <c r="L7" s="11" t="s">
        <v>34</v>
      </c>
      <c r="M7" s="13"/>
    </row>
    <row r="8" spans="1:13" x14ac:dyDescent="0.3">
      <c r="A8" s="11" t="s">
        <v>52</v>
      </c>
      <c r="B8" s="11" t="s">
        <v>28</v>
      </c>
      <c r="C8" s="11" t="s">
        <v>29</v>
      </c>
      <c r="D8" s="11" t="s">
        <v>53</v>
      </c>
      <c r="E8" s="11"/>
      <c r="F8" s="11" t="s">
        <v>31</v>
      </c>
      <c r="G8" s="11" t="s">
        <v>50</v>
      </c>
      <c r="H8" s="11"/>
      <c r="I8" s="12">
        <v>1.7</v>
      </c>
      <c r="J8" s="11"/>
      <c r="K8" s="11" t="s">
        <v>54</v>
      </c>
      <c r="L8" s="11" t="s">
        <v>34</v>
      </c>
      <c r="M8" s="13"/>
    </row>
    <row r="9" spans="1:13" x14ac:dyDescent="0.3">
      <c r="A9" s="11" t="s">
        <v>55</v>
      </c>
      <c r="B9" s="11" t="s">
        <v>28</v>
      </c>
      <c r="C9" s="11" t="s">
        <v>29</v>
      </c>
      <c r="D9" s="11" t="s">
        <v>56</v>
      </c>
      <c r="E9" s="11"/>
      <c r="F9" s="11" t="s">
        <v>37</v>
      </c>
      <c r="G9" s="11" t="s">
        <v>57</v>
      </c>
      <c r="H9" s="11"/>
      <c r="I9" s="12">
        <v>3.1</v>
      </c>
      <c r="J9" s="11"/>
      <c r="K9" s="11" t="s">
        <v>58</v>
      </c>
      <c r="L9" s="11" t="s">
        <v>34</v>
      </c>
      <c r="M9" s="13"/>
    </row>
    <row r="10" spans="1:13" x14ac:dyDescent="0.3">
      <c r="A10" s="11" t="s">
        <v>59</v>
      </c>
      <c r="B10" s="11" t="s">
        <v>28</v>
      </c>
      <c r="C10" s="11" t="s">
        <v>29</v>
      </c>
      <c r="D10" s="11" t="s">
        <v>56</v>
      </c>
      <c r="E10" s="11"/>
      <c r="F10" s="11" t="s">
        <v>37</v>
      </c>
      <c r="G10" s="11" t="s">
        <v>60</v>
      </c>
      <c r="H10" s="11"/>
      <c r="I10" s="12">
        <v>1.9</v>
      </c>
      <c r="J10" s="11"/>
      <c r="K10" s="11" t="s">
        <v>61</v>
      </c>
      <c r="L10" s="11" t="s">
        <v>34</v>
      </c>
      <c r="M10" s="13"/>
    </row>
    <row r="11" spans="1:13" x14ac:dyDescent="0.3">
      <c r="A11" s="11" t="s">
        <v>62</v>
      </c>
      <c r="B11" s="11" t="s">
        <v>28</v>
      </c>
      <c r="C11" s="11" t="s">
        <v>29</v>
      </c>
      <c r="D11" s="11" t="s">
        <v>56</v>
      </c>
      <c r="E11" s="11"/>
      <c r="F11" s="11" t="s">
        <v>37</v>
      </c>
      <c r="G11" s="11" t="s">
        <v>63</v>
      </c>
      <c r="H11" s="11"/>
      <c r="I11" s="12">
        <v>0.6</v>
      </c>
      <c r="J11" s="11"/>
      <c r="K11" s="11" t="s">
        <v>64</v>
      </c>
      <c r="L11" s="11" t="s">
        <v>34</v>
      </c>
      <c r="M11" s="13"/>
    </row>
    <row r="12" spans="1:13" x14ac:dyDescent="0.3">
      <c r="A12" s="11" t="s">
        <v>65</v>
      </c>
      <c r="B12" s="11" t="s">
        <v>28</v>
      </c>
      <c r="C12" s="11" t="s">
        <v>29</v>
      </c>
      <c r="D12" s="11" t="s">
        <v>66</v>
      </c>
      <c r="E12" s="11"/>
      <c r="F12" s="11" t="s">
        <v>31</v>
      </c>
      <c r="G12" s="11" t="s">
        <v>67</v>
      </c>
      <c r="H12" s="11"/>
      <c r="I12" s="12">
        <v>1.7</v>
      </c>
      <c r="J12" s="11"/>
      <c r="K12" s="11" t="s">
        <v>68</v>
      </c>
      <c r="L12" s="11" t="s">
        <v>34</v>
      </c>
      <c r="M12" s="13"/>
    </row>
    <row r="13" spans="1:13" x14ac:dyDescent="0.3">
      <c r="A13" s="11" t="s">
        <v>69</v>
      </c>
      <c r="B13" s="11" t="s">
        <v>28</v>
      </c>
      <c r="C13" s="11" t="s">
        <v>29</v>
      </c>
      <c r="D13" s="11" t="s">
        <v>70</v>
      </c>
      <c r="E13" s="11"/>
      <c r="F13" s="11" t="s">
        <v>37</v>
      </c>
      <c r="G13" s="11" t="s">
        <v>60</v>
      </c>
      <c r="H13" s="11"/>
      <c r="I13" s="12">
        <v>1.41</v>
      </c>
      <c r="J13" s="11"/>
      <c r="K13" s="11" t="s">
        <v>71</v>
      </c>
      <c r="L13" s="11" t="s">
        <v>34</v>
      </c>
      <c r="M13" s="13"/>
    </row>
    <row r="14" spans="1:13" x14ac:dyDescent="0.3">
      <c r="A14" s="11" t="s">
        <v>72</v>
      </c>
      <c r="B14" s="11" t="s">
        <v>28</v>
      </c>
      <c r="C14" s="11" t="s">
        <v>29</v>
      </c>
      <c r="D14" s="11" t="s">
        <v>70</v>
      </c>
      <c r="E14" s="11"/>
      <c r="F14" s="11" t="s">
        <v>37</v>
      </c>
      <c r="G14" s="11" t="s">
        <v>63</v>
      </c>
      <c r="H14" s="11"/>
      <c r="I14" s="12">
        <v>0.63</v>
      </c>
      <c r="J14" s="11"/>
      <c r="K14" s="11" t="s">
        <v>73</v>
      </c>
      <c r="L14" s="11" t="s">
        <v>34</v>
      </c>
      <c r="M14" s="13"/>
    </row>
    <row r="15" spans="1:13" x14ac:dyDescent="0.3">
      <c r="A15" s="11" t="s">
        <v>74</v>
      </c>
      <c r="B15" s="11" t="s">
        <v>28</v>
      </c>
      <c r="C15" s="11" t="s">
        <v>29</v>
      </c>
      <c r="D15" s="11" t="s">
        <v>75</v>
      </c>
      <c r="E15" s="11"/>
      <c r="F15" s="11" t="s">
        <v>37</v>
      </c>
      <c r="G15" s="11" t="s">
        <v>67</v>
      </c>
      <c r="H15" s="11"/>
      <c r="I15" s="12">
        <v>1.6</v>
      </c>
      <c r="J15" s="11"/>
      <c r="K15" s="11" t="s">
        <v>76</v>
      </c>
      <c r="L15" s="11" t="s">
        <v>34</v>
      </c>
      <c r="M15" s="13"/>
    </row>
    <row r="16" spans="1:13" x14ac:dyDescent="0.3">
      <c r="A16" s="11" t="s">
        <v>77</v>
      </c>
      <c r="B16" s="11" t="s">
        <v>28</v>
      </c>
      <c r="C16" s="11" t="s">
        <v>29</v>
      </c>
      <c r="D16" s="11" t="s">
        <v>75</v>
      </c>
      <c r="E16" s="11"/>
      <c r="F16" s="11" t="s">
        <v>37</v>
      </c>
      <c r="G16" s="11" t="s">
        <v>60</v>
      </c>
      <c r="H16" s="11"/>
      <c r="I16" s="12">
        <v>1.2</v>
      </c>
      <c r="J16" s="11"/>
      <c r="K16" s="11" t="s">
        <v>78</v>
      </c>
      <c r="L16" s="11" t="s">
        <v>34</v>
      </c>
      <c r="M16" s="13"/>
    </row>
    <row r="17" spans="1:13" x14ac:dyDescent="0.3">
      <c r="A17" s="11" t="s">
        <v>79</v>
      </c>
      <c r="B17" s="11" t="s">
        <v>28</v>
      </c>
      <c r="C17" s="11" t="s">
        <v>29</v>
      </c>
      <c r="D17" s="11" t="s">
        <v>75</v>
      </c>
      <c r="E17" s="11"/>
      <c r="F17" s="11" t="s">
        <v>37</v>
      </c>
      <c r="G17" s="11" t="s">
        <v>63</v>
      </c>
      <c r="H17" s="11"/>
      <c r="I17" s="12">
        <v>0.5</v>
      </c>
      <c r="J17" s="11"/>
      <c r="K17" s="11" t="s">
        <v>80</v>
      </c>
      <c r="L17" s="11" t="s">
        <v>34</v>
      </c>
      <c r="M17" s="13"/>
    </row>
    <row r="18" spans="1:13" x14ac:dyDescent="0.3">
      <c r="A18" s="11" t="s">
        <v>81</v>
      </c>
      <c r="B18" s="11" t="s">
        <v>28</v>
      </c>
      <c r="C18" s="11" t="s">
        <v>29</v>
      </c>
      <c r="D18" s="11" t="s">
        <v>82</v>
      </c>
      <c r="E18" s="11"/>
      <c r="F18" s="11" t="s">
        <v>31</v>
      </c>
      <c r="G18" s="11" t="s">
        <v>57</v>
      </c>
      <c r="H18" s="11"/>
      <c r="I18" s="12">
        <v>1.7</v>
      </c>
      <c r="J18" s="11"/>
      <c r="K18" s="11" t="s">
        <v>83</v>
      </c>
      <c r="L18" s="11" t="s">
        <v>34</v>
      </c>
      <c r="M18" s="13"/>
    </row>
    <row r="19" spans="1:13" x14ac:dyDescent="0.3">
      <c r="A19" s="11" t="s">
        <v>84</v>
      </c>
      <c r="B19" s="11" t="s">
        <v>28</v>
      </c>
      <c r="C19" s="11" t="s">
        <v>29</v>
      </c>
      <c r="D19" s="11" t="s">
        <v>82</v>
      </c>
      <c r="E19" s="11"/>
      <c r="F19" s="11" t="s">
        <v>37</v>
      </c>
      <c r="G19" s="11" t="s">
        <v>60</v>
      </c>
      <c r="H19" s="11"/>
      <c r="I19" s="12">
        <v>1.2</v>
      </c>
      <c r="J19" s="11"/>
      <c r="K19" s="11" t="s">
        <v>85</v>
      </c>
      <c r="L19" s="11" t="s">
        <v>34</v>
      </c>
      <c r="M19" s="13"/>
    </row>
    <row r="20" spans="1:13" x14ac:dyDescent="0.3">
      <c r="A20" s="11" t="s">
        <v>86</v>
      </c>
      <c r="B20" s="11" t="s">
        <v>28</v>
      </c>
      <c r="C20" s="11" t="s">
        <v>29</v>
      </c>
      <c r="D20" s="11" t="s">
        <v>87</v>
      </c>
      <c r="E20" s="11"/>
      <c r="F20" s="11" t="s">
        <v>37</v>
      </c>
      <c r="G20" s="11" t="s">
        <v>50</v>
      </c>
      <c r="H20" s="11"/>
      <c r="I20" s="12">
        <v>1.63</v>
      </c>
      <c r="J20" s="11"/>
      <c r="K20" s="11" t="s">
        <v>88</v>
      </c>
      <c r="L20" s="11" t="s">
        <v>34</v>
      </c>
      <c r="M20" s="13"/>
    </row>
    <row r="21" spans="1:13" x14ac:dyDescent="0.3">
      <c r="A21" s="11" t="s">
        <v>89</v>
      </c>
      <c r="B21" s="11" t="s">
        <v>28</v>
      </c>
      <c r="C21" s="11" t="s">
        <v>29</v>
      </c>
      <c r="D21" s="11" t="s">
        <v>90</v>
      </c>
      <c r="E21" s="11"/>
      <c r="F21" s="11" t="s">
        <v>37</v>
      </c>
      <c r="G21" s="11" t="s">
        <v>57</v>
      </c>
      <c r="H21" s="11"/>
      <c r="I21" s="12">
        <v>1.83</v>
      </c>
      <c r="J21" s="11"/>
      <c r="K21" s="11" t="s">
        <v>91</v>
      </c>
      <c r="L21" s="11" t="s">
        <v>34</v>
      </c>
      <c r="M21" s="13"/>
    </row>
    <row r="22" spans="1:13" x14ac:dyDescent="0.3">
      <c r="A22" s="11" t="s">
        <v>92</v>
      </c>
      <c r="B22" s="11" t="s">
        <v>28</v>
      </c>
      <c r="C22" s="11" t="s">
        <v>29</v>
      </c>
      <c r="D22" s="11" t="s">
        <v>90</v>
      </c>
      <c r="E22" s="11"/>
      <c r="F22" s="11" t="s">
        <v>37</v>
      </c>
      <c r="G22" s="11" t="s">
        <v>60</v>
      </c>
      <c r="H22" s="11"/>
      <c r="I22" s="12">
        <v>1.38</v>
      </c>
      <c r="J22" s="11"/>
      <c r="K22" s="11" t="s">
        <v>93</v>
      </c>
      <c r="L22" s="11" t="s">
        <v>34</v>
      </c>
      <c r="M22" s="13"/>
    </row>
    <row r="23" spans="1:13" x14ac:dyDescent="0.3">
      <c r="A23" s="11" t="s">
        <v>94</v>
      </c>
      <c r="B23" s="11" t="s">
        <v>28</v>
      </c>
      <c r="C23" s="11" t="s">
        <v>29</v>
      </c>
      <c r="D23" s="11" t="s">
        <v>90</v>
      </c>
      <c r="E23" s="11"/>
      <c r="F23" s="11" t="s">
        <v>37</v>
      </c>
      <c r="G23" s="11" t="s">
        <v>63</v>
      </c>
      <c r="H23" s="11"/>
      <c r="I23" s="12">
        <v>0.83</v>
      </c>
      <c r="J23" s="11"/>
      <c r="K23" s="11" t="s">
        <v>95</v>
      </c>
      <c r="L23" s="11" t="s">
        <v>34</v>
      </c>
      <c r="M23" s="13"/>
    </row>
    <row r="24" spans="1:13" x14ac:dyDescent="0.3">
      <c r="A24" s="11" t="s">
        <v>96</v>
      </c>
      <c r="B24" s="11" t="s">
        <v>28</v>
      </c>
      <c r="C24" s="11" t="s">
        <v>29</v>
      </c>
      <c r="D24" s="11" t="s">
        <v>97</v>
      </c>
      <c r="E24" s="11"/>
      <c r="F24" s="11" t="s">
        <v>37</v>
      </c>
      <c r="G24" s="11" t="s">
        <v>57</v>
      </c>
      <c r="H24" s="11"/>
      <c r="I24" s="12">
        <v>1.83</v>
      </c>
      <c r="J24" s="11"/>
      <c r="K24" s="11" t="s">
        <v>98</v>
      </c>
      <c r="L24" s="11" t="s">
        <v>34</v>
      </c>
      <c r="M24" s="13"/>
    </row>
    <row r="25" spans="1:13" x14ac:dyDescent="0.3">
      <c r="A25" s="11" t="s">
        <v>99</v>
      </c>
      <c r="B25" s="11" t="s">
        <v>28</v>
      </c>
      <c r="C25" s="11" t="s">
        <v>29</v>
      </c>
      <c r="D25" s="11" t="s">
        <v>97</v>
      </c>
      <c r="E25" s="11"/>
      <c r="F25" s="11" t="s">
        <v>37</v>
      </c>
      <c r="G25" s="11" t="s">
        <v>60</v>
      </c>
      <c r="H25" s="11"/>
      <c r="I25" s="12">
        <v>1.38</v>
      </c>
      <c r="J25" s="11"/>
      <c r="K25" s="11" t="s">
        <v>100</v>
      </c>
      <c r="L25" s="11" t="s">
        <v>34</v>
      </c>
      <c r="M25" s="13"/>
    </row>
    <row r="26" spans="1:13" x14ac:dyDescent="0.3">
      <c r="A26" s="11" t="s">
        <v>101</v>
      </c>
      <c r="B26" s="11" t="s">
        <v>28</v>
      </c>
      <c r="C26" s="11" t="s">
        <v>29</v>
      </c>
      <c r="D26" s="11" t="s">
        <v>97</v>
      </c>
      <c r="E26" s="11"/>
      <c r="F26" s="11" t="s">
        <v>37</v>
      </c>
      <c r="G26" s="11" t="s">
        <v>63</v>
      </c>
      <c r="H26" s="11"/>
      <c r="I26" s="12">
        <v>0.83</v>
      </c>
      <c r="J26" s="11"/>
      <c r="K26" s="11" t="s">
        <v>102</v>
      </c>
      <c r="L26" s="11" t="s">
        <v>34</v>
      </c>
      <c r="M26" s="13"/>
    </row>
    <row r="27" spans="1:13" x14ac:dyDescent="0.3">
      <c r="A27" s="11" t="s">
        <v>103</v>
      </c>
      <c r="B27" s="11" t="s">
        <v>28</v>
      </c>
      <c r="C27" s="11" t="s">
        <v>29</v>
      </c>
      <c r="D27" s="11" t="s">
        <v>104</v>
      </c>
      <c r="E27" s="11"/>
      <c r="F27" s="11" t="s">
        <v>37</v>
      </c>
      <c r="G27" s="11" t="s">
        <v>105</v>
      </c>
      <c r="H27" s="11"/>
      <c r="I27" s="12">
        <v>1.7</v>
      </c>
      <c r="J27" s="11"/>
      <c r="K27" s="11" t="s">
        <v>106</v>
      </c>
      <c r="L27" s="11" t="s">
        <v>34</v>
      </c>
      <c r="M27" s="13"/>
    </row>
    <row r="28" spans="1:13" x14ac:dyDescent="0.3">
      <c r="A28" s="11" t="s">
        <v>107</v>
      </c>
      <c r="B28" s="11" t="s">
        <v>28</v>
      </c>
      <c r="C28" s="11" t="s">
        <v>29</v>
      </c>
      <c r="D28" s="11" t="s">
        <v>104</v>
      </c>
      <c r="E28" s="11"/>
      <c r="F28" s="11" t="s">
        <v>37</v>
      </c>
      <c r="G28" s="11" t="s">
        <v>108</v>
      </c>
      <c r="H28" s="11" t="s">
        <v>109</v>
      </c>
      <c r="I28" s="12">
        <v>0.6</v>
      </c>
      <c r="J28" s="11"/>
      <c r="K28" s="11" t="s">
        <v>110</v>
      </c>
      <c r="L28" s="11" t="s">
        <v>34</v>
      </c>
      <c r="M28" s="13"/>
    </row>
    <row r="29" spans="1:13" x14ac:dyDescent="0.3">
      <c r="A29" s="11" t="s">
        <v>111</v>
      </c>
      <c r="B29" s="11" t="s">
        <v>28</v>
      </c>
      <c r="C29" s="11" t="s">
        <v>29</v>
      </c>
      <c r="D29" s="11" t="s">
        <v>104</v>
      </c>
      <c r="E29" s="11"/>
      <c r="F29" s="11" t="s">
        <v>37</v>
      </c>
      <c r="G29" s="11" t="s">
        <v>112</v>
      </c>
      <c r="H29" s="11" t="s">
        <v>109</v>
      </c>
      <c r="I29" s="12">
        <v>0.45</v>
      </c>
      <c r="J29" s="11"/>
      <c r="K29" s="11" t="s">
        <v>113</v>
      </c>
      <c r="L29" s="11" t="s">
        <v>34</v>
      </c>
      <c r="M29" s="13"/>
    </row>
    <row r="30" spans="1:13" x14ac:dyDescent="0.3">
      <c r="A30" s="11" t="s">
        <v>114</v>
      </c>
      <c r="B30" s="11" t="s">
        <v>28</v>
      </c>
      <c r="C30" s="11" t="s">
        <v>29</v>
      </c>
      <c r="D30" s="11" t="s">
        <v>104</v>
      </c>
      <c r="E30" s="11"/>
      <c r="F30" s="11" t="s">
        <v>37</v>
      </c>
      <c r="G30" s="11" t="s">
        <v>115</v>
      </c>
      <c r="H30" s="11" t="s">
        <v>109</v>
      </c>
      <c r="I30" s="12">
        <v>0.45</v>
      </c>
      <c r="J30" s="11"/>
      <c r="K30" s="11" t="s">
        <v>116</v>
      </c>
      <c r="L30" s="11" t="s">
        <v>34</v>
      </c>
      <c r="M30" s="13"/>
    </row>
    <row r="31" spans="1:13" x14ac:dyDescent="0.3">
      <c r="A31" s="11" t="s">
        <v>117</v>
      </c>
      <c r="B31" s="11" t="s">
        <v>28</v>
      </c>
      <c r="C31" s="11" t="s">
        <v>29</v>
      </c>
      <c r="D31" s="11" t="s">
        <v>104</v>
      </c>
      <c r="E31" s="11"/>
      <c r="F31" s="11" t="s">
        <v>37</v>
      </c>
      <c r="G31" s="11" t="s">
        <v>118</v>
      </c>
      <c r="H31" s="11" t="s">
        <v>109</v>
      </c>
      <c r="I31" s="12">
        <v>0.35</v>
      </c>
      <c r="J31" s="11"/>
      <c r="K31" s="11" t="s">
        <v>119</v>
      </c>
      <c r="L31" s="11" t="s">
        <v>34</v>
      </c>
      <c r="M31" s="13"/>
    </row>
    <row r="32" spans="1:13" x14ac:dyDescent="0.3">
      <c r="A32" s="11" t="s">
        <v>120</v>
      </c>
      <c r="B32" s="11" t="s">
        <v>28</v>
      </c>
      <c r="C32" s="11" t="s">
        <v>29</v>
      </c>
      <c r="D32" s="11" t="s">
        <v>104</v>
      </c>
      <c r="E32" s="11"/>
      <c r="F32" s="11" t="s">
        <v>37</v>
      </c>
      <c r="G32" s="11" t="s">
        <v>121</v>
      </c>
      <c r="H32" s="11" t="s">
        <v>109</v>
      </c>
      <c r="I32" s="12">
        <v>0.35</v>
      </c>
      <c r="J32" s="11"/>
      <c r="K32" s="11" t="s">
        <v>122</v>
      </c>
      <c r="L32" s="11" t="s">
        <v>34</v>
      </c>
      <c r="M32" s="13"/>
    </row>
    <row r="33" spans="1:13" x14ac:dyDescent="0.3">
      <c r="A33" s="11" t="s">
        <v>123</v>
      </c>
      <c r="B33" s="11" t="s">
        <v>28</v>
      </c>
      <c r="C33" s="11" t="s">
        <v>29</v>
      </c>
      <c r="D33" s="11" t="s">
        <v>104</v>
      </c>
      <c r="E33" s="11"/>
      <c r="F33" s="11" t="s">
        <v>124</v>
      </c>
      <c r="G33" s="11" t="s">
        <v>125</v>
      </c>
      <c r="H33" s="11" t="s">
        <v>126</v>
      </c>
      <c r="I33" s="12">
        <v>0.35</v>
      </c>
      <c r="J33" s="11"/>
      <c r="K33" s="11" t="s">
        <v>127</v>
      </c>
      <c r="L33" s="11" t="s">
        <v>34</v>
      </c>
      <c r="M33" s="13"/>
    </row>
    <row r="34" spans="1:13" x14ac:dyDescent="0.3">
      <c r="A34" s="11" t="s">
        <v>128</v>
      </c>
      <c r="B34" s="11" t="s">
        <v>28</v>
      </c>
      <c r="C34" s="11" t="s">
        <v>29</v>
      </c>
      <c r="D34" s="11" t="s">
        <v>104</v>
      </c>
      <c r="E34" s="11"/>
      <c r="F34" s="11" t="s">
        <v>129</v>
      </c>
      <c r="G34" s="11" t="s">
        <v>130</v>
      </c>
      <c r="H34" s="11"/>
      <c r="I34" s="12">
        <v>1</v>
      </c>
      <c r="J34" s="11"/>
      <c r="K34" s="11" t="s">
        <v>131</v>
      </c>
      <c r="L34" s="11" t="s">
        <v>34</v>
      </c>
      <c r="M34" s="13"/>
    </row>
    <row r="35" spans="1:13" x14ac:dyDescent="0.3">
      <c r="A35" s="11" t="s">
        <v>132</v>
      </c>
      <c r="B35" s="11" t="s">
        <v>28</v>
      </c>
      <c r="C35" s="11" t="s">
        <v>29</v>
      </c>
      <c r="D35" s="11" t="s">
        <v>104</v>
      </c>
      <c r="E35" s="11"/>
      <c r="F35" s="11" t="s">
        <v>129</v>
      </c>
      <c r="G35" s="11" t="s">
        <v>133</v>
      </c>
      <c r="H35" s="11"/>
      <c r="I35" s="12">
        <v>0.6</v>
      </c>
      <c r="J35" s="11"/>
      <c r="K35" s="11" t="s">
        <v>134</v>
      </c>
      <c r="L35" s="11" t="s">
        <v>34</v>
      </c>
      <c r="M35" s="13"/>
    </row>
    <row r="36" spans="1:13" x14ac:dyDescent="0.3">
      <c r="A36" s="11" t="s">
        <v>135</v>
      </c>
      <c r="B36" s="11" t="s">
        <v>28</v>
      </c>
      <c r="C36" s="11" t="s">
        <v>29</v>
      </c>
      <c r="D36" s="11" t="s">
        <v>104</v>
      </c>
      <c r="E36" s="11"/>
      <c r="F36" s="11" t="s">
        <v>129</v>
      </c>
      <c r="G36" s="11" t="s">
        <v>136</v>
      </c>
      <c r="H36" s="11"/>
      <c r="I36" s="12">
        <v>0.45</v>
      </c>
      <c r="J36" s="11"/>
      <c r="K36" s="11" t="s">
        <v>137</v>
      </c>
      <c r="L36" s="11" t="s">
        <v>34</v>
      </c>
      <c r="M36" s="13"/>
    </row>
    <row r="37" spans="1:13" x14ac:dyDescent="0.3">
      <c r="A37" s="11" t="s">
        <v>138</v>
      </c>
      <c r="B37" s="11" t="s">
        <v>28</v>
      </c>
      <c r="C37" s="11" t="s">
        <v>29</v>
      </c>
      <c r="D37" s="11" t="s">
        <v>104</v>
      </c>
      <c r="E37" s="11"/>
      <c r="F37" s="11" t="s">
        <v>129</v>
      </c>
      <c r="G37" s="11" t="s">
        <v>139</v>
      </c>
      <c r="H37" s="11"/>
      <c r="I37" s="12">
        <v>0.45</v>
      </c>
      <c r="J37" s="11"/>
      <c r="K37" s="11" t="s">
        <v>140</v>
      </c>
      <c r="L37" s="11" t="s">
        <v>34</v>
      </c>
      <c r="M37" s="13"/>
    </row>
    <row r="38" spans="1:13" x14ac:dyDescent="0.3">
      <c r="A38" s="11" t="s">
        <v>141</v>
      </c>
      <c r="B38" s="11" t="s">
        <v>28</v>
      </c>
      <c r="C38" s="11" t="s">
        <v>29</v>
      </c>
      <c r="D38" s="11" t="s">
        <v>104</v>
      </c>
      <c r="E38" s="11"/>
      <c r="F38" s="11" t="s">
        <v>129</v>
      </c>
      <c r="G38" s="11" t="s">
        <v>118</v>
      </c>
      <c r="H38" s="11" t="s">
        <v>142</v>
      </c>
      <c r="I38" s="12">
        <v>0.3</v>
      </c>
      <c r="J38" s="11"/>
      <c r="K38" s="11" t="s">
        <v>143</v>
      </c>
      <c r="L38" s="11" t="s">
        <v>34</v>
      </c>
      <c r="M38" s="13"/>
    </row>
    <row r="39" spans="1:13" x14ac:dyDescent="0.3">
      <c r="A39" s="11" t="s">
        <v>144</v>
      </c>
      <c r="B39" s="11" t="s">
        <v>28</v>
      </c>
      <c r="C39" s="11" t="s">
        <v>29</v>
      </c>
      <c r="D39" s="11" t="s">
        <v>104</v>
      </c>
      <c r="E39" s="11"/>
      <c r="F39" s="11" t="s">
        <v>129</v>
      </c>
      <c r="G39" s="11" t="s">
        <v>145</v>
      </c>
      <c r="H39" s="11" t="s">
        <v>146</v>
      </c>
      <c r="I39" s="12">
        <v>0.25</v>
      </c>
      <c r="J39" s="11"/>
      <c r="K39" s="11" t="s">
        <v>147</v>
      </c>
      <c r="L39" s="11" t="s">
        <v>34</v>
      </c>
      <c r="M39" s="13"/>
    </row>
    <row r="40" spans="1:13" x14ac:dyDescent="0.3">
      <c r="A40" s="11" t="s">
        <v>148</v>
      </c>
      <c r="B40" s="11" t="s">
        <v>28</v>
      </c>
      <c r="C40" s="11" t="s">
        <v>29</v>
      </c>
      <c r="D40" s="11" t="s">
        <v>104</v>
      </c>
      <c r="E40" s="11"/>
      <c r="F40" s="11" t="s">
        <v>31</v>
      </c>
      <c r="G40" s="11" t="s">
        <v>44</v>
      </c>
      <c r="H40" s="11"/>
      <c r="I40" s="12">
        <v>0.33</v>
      </c>
      <c r="J40" s="11"/>
      <c r="K40" s="11" t="s">
        <v>149</v>
      </c>
      <c r="L40" s="11" t="s">
        <v>34</v>
      </c>
      <c r="M40" s="13"/>
    </row>
    <row r="41" spans="1:13" x14ac:dyDescent="0.3">
      <c r="A41" s="11" t="s">
        <v>150</v>
      </c>
      <c r="B41" s="11" t="s">
        <v>28</v>
      </c>
      <c r="C41" s="11" t="s">
        <v>151</v>
      </c>
      <c r="D41" s="11" t="s">
        <v>152</v>
      </c>
      <c r="E41" s="11"/>
      <c r="F41" s="11" t="s">
        <v>37</v>
      </c>
      <c r="G41" s="11" t="s">
        <v>153</v>
      </c>
      <c r="H41" s="11"/>
      <c r="I41" s="12">
        <v>1.6</v>
      </c>
      <c r="J41" s="11"/>
      <c r="K41" s="11" t="s">
        <v>154</v>
      </c>
      <c r="L41" s="11" t="s">
        <v>34</v>
      </c>
      <c r="M41" s="13"/>
    </row>
    <row r="42" spans="1:13" x14ac:dyDescent="0.3">
      <c r="A42" s="11" t="s">
        <v>155</v>
      </c>
      <c r="B42" s="11" t="s">
        <v>28</v>
      </c>
      <c r="C42" s="11" t="s">
        <v>151</v>
      </c>
      <c r="D42" s="11" t="s">
        <v>152</v>
      </c>
      <c r="E42" s="11"/>
      <c r="F42" s="11" t="s">
        <v>37</v>
      </c>
      <c r="G42" s="11" t="s">
        <v>105</v>
      </c>
      <c r="H42" s="11"/>
      <c r="I42" s="12">
        <v>1</v>
      </c>
      <c r="J42" s="11"/>
      <c r="K42" s="11" t="s">
        <v>156</v>
      </c>
      <c r="L42" s="11" t="s">
        <v>34</v>
      </c>
      <c r="M42" s="13"/>
    </row>
    <row r="43" spans="1:13" x14ac:dyDescent="0.3">
      <c r="A43" s="11" t="s">
        <v>157</v>
      </c>
      <c r="B43" s="11" t="s">
        <v>28</v>
      </c>
      <c r="C43" s="11" t="s">
        <v>151</v>
      </c>
      <c r="D43" s="11" t="s">
        <v>152</v>
      </c>
      <c r="E43" s="11"/>
      <c r="F43" s="11" t="s">
        <v>124</v>
      </c>
      <c r="G43" s="11" t="s">
        <v>158</v>
      </c>
      <c r="H43" s="11"/>
      <c r="I43" s="12">
        <v>1.7</v>
      </c>
      <c r="J43" s="11"/>
      <c r="K43" s="11" t="s">
        <v>159</v>
      </c>
      <c r="L43" s="11" t="s">
        <v>34</v>
      </c>
      <c r="M43" s="13"/>
    </row>
    <row r="44" spans="1:13" x14ac:dyDescent="0.3">
      <c r="A44" s="11" t="s">
        <v>160</v>
      </c>
      <c r="B44" s="11" t="s">
        <v>28</v>
      </c>
      <c r="C44" s="11" t="s">
        <v>151</v>
      </c>
      <c r="D44" s="11" t="s">
        <v>152</v>
      </c>
      <c r="E44" s="11"/>
      <c r="F44" s="11" t="s">
        <v>124</v>
      </c>
      <c r="G44" s="11" t="s">
        <v>161</v>
      </c>
      <c r="H44" s="11"/>
      <c r="I44" s="12">
        <v>1</v>
      </c>
      <c r="J44" s="11"/>
      <c r="K44" s="11" t="s">
        <v>162</v>
      </c>
      <c r="L44" s="11" t="s">
        <v>34</v>
      </c>
      <c r="M44" s="13"/>
    </row>
    <row r="45" spans="1:13" x14ac:dyDescent="0.3">
      <c r="A45" s="11" t="s">
        <v>163</v>
      </c>
      <c r="B45" s="11" t="s">
        <v>28</v>
      </c>
      <c r="C45" s="11" t="s">
        <v>151</v>
      </c>
      <c r="D45" s="11" t="s">
        <v>152</v>
      </c>
      <c r="E45" s="11"/>
      <c r="F45" s="11" t="s">
        <v>129</v>
      </c>
      <c r="G45" s="11" t="s">
        <v>164</v>
      </c>
      <c r="H45" s="11"/>
      <c r="I45" s="12">
        <v>2.4</v>
      </c>
      <c r="J45" s="11"/>
      <c r="K45" s="11" t="s">
        <v>165</v>
      </c>
      <c r="L45" s="11" t="s">
        <v>34</v>
      </c>
      <c r="M45" s="13"/>
    </row>
    <row r="46" spans="1:13" x14ac:dyDescent="0.3">
      <c r="A46" s="11" t="s">
        <v>166</v>
      </c>
      <c r="B46" s="11" t="s">
        <v>28</v>
      </c>
      <c r="C46" s="11" t="s">
        <v>151</v>
      </c>
      <c r="D46" s="11" t="s">
        <v>152</v>
      </c>
      <c r="E46" s="11"/>
      <c r="F46" s="11" t="s">
        <v>129</v>
      </c>
      <c r="G46" s="11" t="s">
        <v>130</v>
      </c>
      <c r="H46" s="11"/>
      <c r="I46" s="12">
        <v>1</v>
      </c>
      <c r="J46" s="11"/>
      <c r="K46" s="11" t="s">
        <v>167</v>
      </c>
      <c r="L46" s="11" t="s">
        <v>34</v>
      </c>
      <c r="M46" s="13"/>
    </row>
    <row r="47" spans="1:13" x14ac:dyDescent="0.3">
      <c r="A47" s="11" t="s">
        <v>168</v>
      </c>
      <c r="B47" s="11" t="s">
        <v>28</v>
      </c>
      <c r="C47" s="11" t="s">
        <v>151</v>
      </c>
      <c r="D47" s="11" t="s">
        <v>152</v>
      </c>
      <c r="E47" s="11"/>
      <c r="F47" s="11" t="s">
        <v>129</v>
      </c>
      <c r="G47" s="11" t="s">
        <v>133</v>
      </c>
      <c r="H47" s="11"/>
      <c r="I47" s="12">
        <v>0.6</v>
      </c>
      <c r="J47" s="11"/>
      <c r="K47" s="11" t="s">
        <v>169</v>
      </c>
      <c r="L47" s="11" t="s">
        <v>34</v>
      </c>
      <c r="M47" s="13"/>
    </row>
    <row r="48" spans="1:13" x14ac:dyDescent="0.3">
      <c r="A48" s="11" t="s">
        <v>170</v>
      </c>
      <c r="B48" s="11" t="s">
        <v>28</v>
      </c>
      <c r="C48" s="11" t="s">
        <v>151</v>
      </c>
      <c r="D48" s="11" t="s">
        <v>152</v>
      </c>
      <c r="E48" s="11"/>
      <c r="F48" s="11" t="s">
        <v>129</v>
      </c>
      <c r="G48" s="11" t="s">
        <v>136</v>
      </c>
      <c r="H48" s="11"/>
      <c r="I48" s="12">
        <v>0.45</v>
      </c>
      <c r="J48" s="11"/>
      <c r="K48" s="11" t="s">
        <v>171</v>
      </c>
      <c r="L48" s="11" t="s">
        <v>34</v>
      </c>
      <c r="M48" s="13"/>
    </row>
    <row r="49" spans="1:13" x14ac:dyDescent="0.3">
      <c r="A49" s="11" t="s">
        <v>172</v>
      </c>
      <c r="B49" s="11" t="s">
        <v>28</v>
      </c>
      <c r="C49" s="11" t="s">
        <v>151</v>
      </c>
      <c r="D49" s="11" t="s">
        <v>152</v>
      </c>
      <c r="E49" s="11"/>
      <c r="F49" s="11" t="s">
        <v>129</v>
      </c>
      <c r="G49" s="11" t="s">
        <v>139</v>
      </c>
      <c r="H49" s="11"/>
      <c r="I49" s="12">
        <v>0.45</v>
      </c>
      <c r="J49" s="11"/>
      <c r="K49" s="11" t="s">
        <v>173</v>
      </c>
      <c r="L49" s="11" t="s">
        <v>34</v>
      </c>
      <c r="M49" s="13"/>
    </row>
    <row r="50" spans="1:13" x14ac:dyDescent="0.3">
      <c r="A50" s="11" t="s">
        <v>174</v>
      </c>
      <c r="B50" s="11" t="s">
        <v>28</v>
      </c>
      <c r="C50" s="11" t="s">
        <v>151</v>
      </c>
      <c r="D50" s="11" t="s">
        <v>152</v>
      </c>
      <c r="E50" s="11"/>
      <c r="F50" s="11" t="s">
        <v>129</v>
      </c>
      <c r="G50" s="11" t="s">
        <v>175</v>
      </c>
      <c r="H50" s="11"/>
      <c r="I50" s="12">
        <v>0.3</v>
      </c>
      <c r="J50" s="11"/>
      <c r="K50" s="11" t="s">
        <v>176</v>
      </c>
      <c r="L50" s="11" t="s">
        <v>34</v>
      </c>
      <c r="M50" s="13"/>
    </row>
    <row r="51" spans="1:13" x14ac:dyDescent="0.3">
      <c r="A51" s="11" t="s">
        <v>177</v>
      </c>
      <c r="B51" s="11" t="s">
        <v>28</v>
      </c>
      <c r="C51" s="11" t="s">
        <v>151</v>
      </c>
      <c r="D51" s="11" t="s">
        <v>152</v>
      </c>
      <c r="E51" s="11"/>
      <c r="F51" s="11" t="s">
        <v>129</v>
      </c>
      <c r="G51" s="11" t="s">
        <v>145</v>
      </c>
      <c r="H51" s="11" t="s">
        <v>146</v>
      </c>
      <c r="I51" s="12">
        <v>0.25</v>
      </c>
      <c r="J51" s="11"/>
      <c r="K51" s="11" t="s">
        <v>178</v>
      </c>
      <c r="L51" s="11" t="s">
        <v>34</v>
      </c>
      <c r="M51" s="13"/>
    </row>
    <row r="52" spans="1:13" x14ac:dyDescent="0.3">
      <c r="A52" s="11" t="s">
        <v>179</v>
      </c>
      <c r="B52" s="11" t="s">
        <v>28</v>
      </c>
      <c r="C52" s="11" t="s">
        <v>180</v>
      </c>
      <c r="D52" s="11" t="s">
        <v>181</v>
      </c>
      <c r="E52" s="11"/>
      <c r="F52" s="11" t="s">
        <v>37</v>
      </c>
      <c r="G52" s="11" t="s">
        <v>108</v>
      </c>
      <c r="H52" s="11" t="s">
        <v>109</v>
      </c>
      <c r="I52" s="12">
        <v>0.65</v>
      </c>
      <c r="J52" s="11"/>
      <c r="K52" s="11" t="s">
        <v>182</v>
      </c>
      <c r="L52" s="11" t="s">
        <v>34</v>
      </c>
      <c r="M52" s="13"/>
    </row>
    <row r="53" spans="1:13" x14ac:dyDescent="0.3">
      <c r="A53" s="11" t="s">
        <v>183</v>
      </c>
      <c r="B53" s="11" t="s">
        <v>28</v>
      </c>
      <c r="C53" s="11" t="s">
        <v>180</v>
      </c>
      <c r="D53" s="11" t="s">
        <v>181</v>
      </c>
      <c r="E53" s="11"/>
      <c r="F53" s="11" t="s">
        <v>37</v>
      </c>
      <c r="G53" s="11" t="s">
        <v>112</v>
      </c>
      <c r="H53" s="11" t="s">
        <v>109</v>
      </c>
      <c r="I53" s="12">
        <v>0.55000000000000004</v>
      </c>
      <c r="J53" s="11"/>
      <c r="K53" s="11" t="s">
        <v>184</v>
      </c>
      <c r="L53" s="11" t="s">
        <v>34</v>
      </c>
      <c r="M53" s="13"/>
    </row>
    <row r="54" spans="1:13" x14ac:dyDescent="0.3">
      <c r="A54" s="11" t="s">
        <v>185</v>
      </c>
      <c r="B54" s="11" t="s">
        <v>28</v>
      </c>
      <c r="C54" s="11" t="s">
        <v>180</v>
      </c>
      <c r="D54" s="11" t="s">
        <v>181</v>
      </c>
      <c r="E54" s="11"/>
      <c r="F54" s="11" t="s">
        <v>37</v>
      </c>
      <c r="G54" s="11" t="s">
        <v>115</v>
      </c>
      <c r="H54" s="11" t="s">
        <v>109</v>
      </c>
      <c r="I54" s="12">
        <v>0.51</v>
      </c>
      <c r="J54" s="11"/>
      <c r="K54" s="11" t="s">
        <v>186</v>
      </c>
      <c r="L54" s="11" t="s">
        <v>34</v>
      </c>
      <c r="M54" s="13"/>
    </row>
    <row r="55" spans="1:13" x14ac:dyDescent="0.3">
      <c r="A55" s="11" t="s">
        <v>187</v>
      </c>
      <c r="B55" s="11" t="s">
        <v>28</v>
      </c>
      <c r="C55" s="11" t="s">
        <v>180</v>
      </c>
      <c r="D55" s="11" t="s">
        <v>181</v>
      </c>
      <c r="E55" s="11"/>
      <c r="F55" s="11" t="s">
        <v>37</v>
      </c>
      <c r="G55" s="11" t="s">
        <v>118</v>
      </c>
      <c r="H55" s="11" t="s">
        <v>109</v>
      </c>
      <c r="I55" s="12">
        <v>0.35</v>
      </c>
      <c r="J55" s="11"/>
      <c r="K55" s="11" t="s">
        <v>188</v>
      </c>
      <c r="L55" s="11" t="s">
        <v>34</v>
      </c>
      <c r="M55" s="13"/>
    </row>
    <row r="56" spans="1:13" x14ac:dyDescent="0.3">
      <c r="A56" s="11" t="s">
        <v>189</v>
      </c>
      <c r="B56" s="11" t="s">
        <v>28</v>
      </c>
      <c r="C56" s="11" t="s">
        <v>180</v>
      </c>
      <c r="D56" s="11" t="s">
        <v>181</v>
      </c>
      <c r="E56" s="11"/>
      <c r="F56" s="11" t="s">
        <v>37</v>
      </c>
      <c r="G56" s="11" t="s">
        <v>121</v>
      </c>
      <c r="H56" s="11" t="s">
        <v>109</v>
      </c>
      <c r="I56" s="12">
        <v>0.27</v>
      </c>
      <c r="J56" s="11"/>
      <c r="K56" s="11" t="s">
        <v>190</v>
      </c>
      <c r="L56" s="11" t="s">
        <v>34</v>
      </c>
      <c r="M56" s="13"/>
    </row>
    <row r="57" spans="1:13" x14ac:dyDescent="0.3">
      <c r="A57" s="11" t="s">
        <v>191</v>
      </c>
      <c r="B57" s="11" t="s">
        <v>28</v>
      </c>
      <c r="C57" s="11" t="s">
        <v>180</v>
      </c>
      <c r="D57" s="11" t="s">
        <v>192</v>
      </c>
      <c r="E57" s="11"/>
      <c r="F57" s="11" t="s">
        <v>31</v>
      </c>
      <c r="G57" s="11" t="s">
        <v>193</v>
      </c>
      <c r="H57" s="11"/>
      <c r="I57" s="12">
        <v>0.53</v>
      </c>
      <c r="J57" s="11"/>
      <c r="K57" s="11" t="s">
        <v>194</v>
      </c>
      <c r="L57" s="11" t="s">
        <v>34</v>
      </c>
      <c r="M57" s="13"/>
    </row>
    <row r="58" spans="1:13" x14ac:dyDescent="0.3">
      <c r="A58" s="11" t="s">
        <v>195</v>
      </c>
      <c r="B58" s="11" t="s">
        <v>28</v>
      </c>
      <c r="C58" s="11" t="s">
        <v>180</v>
      </c>
      <c r="D58" s="11" t="s">
        <v>192</v>
      </c>
      <c r="E58" s="11"/>
      <c r="F58" s="11" t="s">
        <v>31</v>
      </c>
      <c r="G58" s="11" t="s">
        <v>196</v>
      </c>
      <c r="H58" s="11"/>
      <c r="I58" s="12">
        <v>0.41</v>
      </c>
      <c r="J58" s="11"/>
      <c r="K58" s="11" t="s">
        <v>197</v>
      </c>
      <c r="L58" s="11" t="s">
        <v>34</v>
      </c>
      <c r="M58" s="13"/>
    </row>
    <row r="59" spans="1:13" x14ac:dyDescent="0.3">
      <c r="A59" s="11" t="s">
        <v>198</v>
      </c>
      <c r="B59" s="11" t="s">
        <v>28</v>
      </c>
      <c r="C59" s="11" t="s">
        <v>180</v>
      </c>
      <c r="D59" s="11" t="s">
        <v>192</v>
      </c>
      <c r="E59" s="11"/>
      <c r="F59" s="11" t="s">
        <v>31</v>
      </c>
      <c r="G59" s="11" t="s">
        <v>199</v>
      </c>
      <c r="H59" s="11"/>
      <c r="I59" s="12">
        <v>0.32</v>
      </c>
      <c r="J59" s="11"/>
      <c r="K59" s="11" t="s">
        <v>200</v>
      </c>
      <c r="L59" s="11" t="s">
        <v>34</v>
      </c>
      <c r="M59" s="13"/>
    </row>
    <row r="60" spans="1:13" x14ac:dyDescent="0.3">
      <c r="A60" s="11" t="s">
        <v>201</v>
      </c>
      <c r="B60" s="11" t="s">
        <v>28</v>
      </c>
      <c r="C60" s="11" t="s">
        <v>202</v>
      </c>
      <c r="D60" s="11" t="s">
        <v>203</v>
      </c>
      <c r="E60" s="11"/>
      <c r="F60" s="11" t="s">
        <v>37</v>
      </c>
      <c r="G60" s="11" t="s">
        <v>204</v>
      </c>
      <c r="H60" s="11"/>
      <c r="I60" s="12">
        <v>0.63</v>
      </c>
      <c r="J60" s="11"/>
      <c r="K60" s="11" t="s">
        <v>205</v>
      </c>
      <c r="L60" s="11" t="s">
        <v>34</v>
      </c>
      <c r="M60" s="13"/>
    </row>
    <row r="61" spans="1:13" x14ac:dyDescent="0.3">
      <c r="A61" s="11" t="s">
        <v>206</v>
      </c>
      <c r="B61" s="11" t="s">
        <v>28</v>
      </c>
      <c r="C61" s="11" t="s">
        <v>202</v>
      </c>
      <c r="D61" s="11" t="s">
        <v>181</v>
      </c>
      <c r="E61" s="11"/>
      <c r="F61" s="11" t="s">
        <v>124</v>
      </c>
      <c r="G61" s="11" t="s">
        <v>207</v>
      </c>
      <c r="H61" s="11"/>
      <c r="I61" s="12">
        <v>0.6</v>
      </c>
      <c r="J61" s="11"/>
      <c r="K61" s="11" t="s">
        <v>208</v>
      </c>
      <c r="L61" s="11" t="s">
        <v>34</v>
      </c>
      <c r="M61" s="13"/>
    </row>
    <row r="62" spans="1:13" x14ac:dyDescent="0.3">
      <c r="A62" s="11" t="s">
        <v>209</v>
      </c>
      <c r="B62" s="11" t="s">
        <v>28</v>
      </c>
      <c r="C62" s="11" t="s">
        <v>202</v>
      </c>
      <c r="D62" s="11" t="s">
        <v>181</v>
      </c>
      <c r="E62" s="11"/>
      <c r="F62" s="11" t="s">
        <v>124</v>
      </c>
      <c r="G62" s="11" t="s">
        <v>210</v>
      </c>
      <c r="H62" s="11"/>
      <c r="I62" s="12">
        <v>0.55000000000000004</v>
      </c>
      <c r="J62" s="11"/>
      <c r="K62" s="11" t="s">
        <v>211</v>
      </c>
      <c r="L62" s="11" t="s">
        <v>34</v>
      </c>
      <c r="M62" s="13"/>
    </row>
    <row r="63" spans="1:13" x14ac:dyDescent="0.3">
      <c r="A63" s="11" t="s">
        <v>212</v>
      </c>
      <c r="B63" s="11" t="s">
        <v>28</v>
      </c>
      <c r="C63" s="11" t="s">
        <v>202</v>
      </c>
      <c r="D63" s="11" t="s">
        <v>181</v>
      </c>
      <c r="E63" s="11"/>
      <c r="F63" s="11" t="s">
        <v>124</v>
      </c>
      <c r="G63" s="11" t="s">
        <v>213</v>
      </c>
      <c r="H63" s="11"/>
      <c r="I63" s="12">
        <v>0.45</v>
      </c>
      <c r="J63" s="11"/>
      <c r="K63" s="11" t="s">
        <v>214</v>
      </c>
      <c r="L63" s="11" t="s">
        <v>34</v>
      </c>
      <c r="M63" s="13"/>
    </row>
    <row r="64" spans="1:13" x14ac:dyDescent="0.3">
      <c r="A64" s="11" t="s">
        <v>215</v>
      </c>
      <c r="B64" s="11" t="s">
        <v>28</v>
      </c>
      <c r="C64" s="11" t="s">
        <v>202</v>
      </c>
      <c r="D64" s="11" t="s">
        <v>181</v>
      </c>
      <c r="E64" s="11"/>
      <c r="F64" s="11" t="s">
        <v>124</v>
      </c>
      <c r="G64" s="11" t="s">
        <v>125</v>
      </c>
      <c r="H64" s="11" t="s">
        <v>126</v>
      </c>
      <c r="I64" s="12">
        <v>0.27</v>
      </c>
      <c r="J64" s="11"/>
      <c r="K64" s="11" t="s">
        <v>216</v>
      </c>
      <c r="L64" s="11" t="s">
        <v>34</v>
      </c>
      <c r="M64" s="13"/>
    </row>
    <row r="65" spans="1:13" x14ac:dyDescent="0.3">
      <c r="A65" s="11" t="s">
        <v>217</v>
      </c>
      <c r="B65" s="11" t="s">
        <v>28</v>
      </c>
      <c r="C65" s="11" t="s">
        <v>202</v>
      </c>
      <c r="D65" s="11" t="s">
        <v>181</v>
      </c>
      <c r="E65" s="11"/>
      <c r="F65" s="11" t="s">
        <v>129</v>
      </c>
      <c r="G65" s="11" t="s">
        <v>133</v>
      </c>
      <c r="H65" s="11"/>
      <c r="I65" s="12">
        <v>0.6</v>
      </c>
      <c r="J65" s="11"/>
      <c r="K65" s="11" t="s">
        <v>218</v>
      </c>
      <c r="L65" s="11" t="s">
        <v>34</v>
      </c>
      <c r="M65" s="13"/>
    </row>
    <row r="66" spans="1:13" x14ac:dyDescent="0.3">
      <c r="A66" s="11" t="s">
        <v>219</v>
      </c>
      <c r="B66" s="11" t="s">
        <v>28</v>
      </c>
      <c r="C66" s="11" t="s">
        <v>202</v>
      </c>
      <c r="D66" s="11" t="s">
        <v>181</v>
      </c>
      <c r="E66" s="11"/>
      <c r="F66" s="11" t="s">
        <v>129</v>
      </c>
      <c r="G66" s="11" t="s">
        <v>136</v>
      </c>
      <c r="H66" s="11"/>
      <c r="I66" s="12">
        <v>0.45</v>
      </c>
      <c r="J66" s="11"/>
      <c r="K66" s="11" t="s">
        <v>220</v>
      </c>
      <c r="L66" s="11" t="s">
        <v>34</v>
      </c>
      <c r="M66" s="13"/>
    </row>
    <row r="67" spans="1:13" x14ac:dyDescent="0.3">
      <c r="A67" s="11" t="s">
        <v>221</v>
      </c>
      <c r="B67" s="11" t="s">
        <v>28</v>
      </c>
      <c r="C67" s="11" t="s">
        <v>202</v>
      </c>
      <c r="D67" s="11" t="s">
        <v>181</v>
      </c>
      <c r="E67" s="11"/>
      <c r="F67" s="11" t="s">
        <v>129</v>
      </c>
      <c r="G67" s="11" t="s">
        <v>139</v>
      </c>
      <c r="H67" s="11"/>
      <c r="I67" s="12">
        <v>0.45</v>
      </c>
      <c r="J67" s="11"/>
      <c r="K67" s="11" t="s">
        <v>222</v>
      </c>
      <c r="L67" s="11" t="s">
        <v>34</v>
      </c>
      <c r="M67" s="13"/>
    </row>
    <row r="68" spans="1:13" x14ac:dyDescent="0.3">
      <c r="A68" s="11" t="s">
        <v>223</v>
      </c>
      <c r="B68" s="11" t="s">
        <v>28</v>
      </c>
      <c r="C68" s="11" t="s">
        <v>202</v>
      </c>
      <c r="D68" s="11" t="s">
        <v>181</v>
      </c>
      <c r="E68" s="11"/>
      <c r="F68" s="11" t="s">
        <v>129</v>
      </c>
      <c r="G68" s="11" t="s">
        <v>175</v>
      </c>
      <c r="H68" s="11"/>
      <c r="I68" s="12">
        <v>0.3</v>
      </c>
      <c r="J68" s="11"/>
      <c r="K68" s="11" t="s">
        <v>224</v>
      </c>
      <c r="L68" s="11" t="s">
        <v>34</v>
      </c>
      <c r="M68" s="13"/>
    </row>
    <row r="69" spans="1:13" x14ac:dyDescent="0.3">
      <c r="A69" s="11" t="s">
        <v>225</v>
      </c>
      <c r="B69" s="11" t="s">
        <v>28</v>
      </c>
      <c r="C69" s="11" t="s">
        <v>202</v>
      </c>
      <c r="D69" s="11" t="s">
        <v>181</v>
      </c>
      <c r="E69" s="11"/>
      <c r="F69" s="11" t="s">
        <v>129</v>
      </c>
      <c r="G69" s="11" t="s">
        <v>145</v>
      </c>
      <c r="H69" s="11" t="s">
        <v>146</v>
      </c>
      <c r="I69" s="12">
        <v>0.25</v>
      </c>
      <c r="J69" s="11"/>
      <c r="K69" s="11" t="s">
        <v>226</v>
      </c>
      <c r="L69" s="11" t="s">
        <v>34</v>
      </c>
      <c r="M69" s="13"/>
    </row>
    <row r="70" spans="1:13" x14ac:dyDescent="0.3">
      <c r="A70" s="11" t="s">
        <v>227</v>
      </c>
      <c r="B70" s="11" t="s">
        <v>28</v>
      </c>
      <c r="C70" s="11" t="s">
        <v>202</v>
      </c>
      <c r="D70" s="11" t="s">
        <v>228</v>
      </c>
      <c r="E70" s="11"/>
      <c r="F70" s="11" t="s">
        <v>31</v>
      </c>
      <c r="G70" s="11" t="s">
        <v>193</v>
      </c>
      <c r="H70" s="11"/>
      <c r="I70" s="12">
        <v>0.56999999999999995</v>
      </c>
      <c r="J70" s="11"/>
      <c r="K70" s="11" t="s">
        <v>229</v>
      </c>
      <c r="L70" s="11" t="s">
        <v>34</v>
      </c>
      <c r="M70" s="13"/>
    </row>
    <row r="71" spans="1:13" x14ac:dyDescent="0.3">
      <c r="A71" s="11" t="s">
        <v>230</v>
      </c>
      <c r="B71" s="11" t="s">
        <v>28</v>
      </c>
      <c r="C71" s="11" t="s">
        <v>202</v>
      </c>
      <c r="D71" s="11" t="s">
        <v>228</v>
      </c>
      <c r="E71" s="11"/>
      <c r="F71" s="11" t="s">
        <v>31</v>
      </c>
      <c r="G71" s="11" t="s">
        <v>231</v>
      </c>
      <c r="H71" s="11"/>
      <c r="I71" s="12">
        <v>0.4</v>
      </c>
      <c r="J71" s="11"/>
      <c r="K71" s="11" t="s">
        <v>232</v>
      </c>
      <c r="L71" s="11" t="s">
        <v>34</v>
      </c>
      <c r="M71" s="13"/>
    </row>
    <row r="72" spans="1:13" x14ac:dyDescent="0.3">
      <c r="A72" s="11" t="s">
        <v>233</v>
      </c>
      <c r="B72" s="11" t="s">
        <v>28</v>
      </c>
      <c r="C72" s="11" t="s">
        <v>202</v>
      </c>
      <c r="D72" s="11" t="s">
        <v>228</v>
      </c>
      <c r="E72" s="11"/>
      <c r="F72" s="11" t="s">
        <v>31</v>
      </c>
      <c r="G72" s="11" t="s">
        <v>234</v>
      </c>
      <c r="H72" s="11"/>
      <c r="I72" s="12">
        <v>0.31</v>
      </c>
      <c r="J72" s="11"/>
      <c r="K72" s="11" t="s">
        <v>235</v>
      </c>
      <c r="L72" s="11" t="s">
        <v>34</v>
      </c>
      <c r="M72" s="13"/>
    </row>
    <row r="73" spans="1:13" x14ac:dyDescent="0.3">
      <c r="A73" s="11" t="s">
        <v>236</v>
      </c>
      <c r="B73" s="11" t="s">
        <v>28</v>
      </c>
      <c r="C73" s="11" t="s">
        <v>202</v>
      </c>
      <c r="D73" s="11" t="s">
        <v>228</v>
      </c>
      <c r="E73" s="11"/>
      <c r="F73" s="11" t="s">
        <v>31</v>
      </c>
      <c r="G73" s="11" t="s">
        <v>196</v>
      </c>
      <c r="H73" s="11"/>
      <c r="I73" s="12">
        <v>0.43</v>
      </c>
      <c r="J73" s="11"/>
      <c r="K73" s="11" t="s">
        <v>237</v>
      </c>
      <c r="L73" s="11" t="s">
        <v>34</v>
      </c>
      <c r="M73" s="13"/>
    </row>
    <row r="74" spans="1:13" x14ac:dyDescent="0.3">
      <c r="A74" s="11" t="s">
        <v>238</v>
      </c>
      <c r="B74" s="11" t="s">
        <v>28</v>
      </c>
      <c r="C74" s="11" t="s">
        <v>202</v>
      </c>
      <c r="D74" s="11" t="s">
        <v>228</v>
      </c>
      <c r="E74" s="11"/>
      <c r="F74" s="11" t="s">
        <v>31</v>
      </c>
      <c r="G74" s="11" t="s">
        <v>239</v>
      </c>
      <c r="H74" s="11"/>
      <c r="I74" s="12">
        <v>0.22</v>
      </c>
      <c r="J74" s="11"/>
      <c r="K74" s="11" t="s">
        <v>240</v>
      </c>
      <c r="L74" s="11" t="s">
        <v>34</v>
      </c>
      <c r="M74" s="13"/>
    </row>
    <row r="75" spans="1:13" x14ac:dyDescent="0.3">
      <c r="A75" s="11" t="s">
        <v>241</v>
      </c>
      <c r="B75" s="11" t="s">
        <v>28</v>
      </c>
      <c r="C75" s="11" t="s">
        <v>202</v>
      </c>
      <c r="D75" s="11" t="s">
        <v>228</v>
      </c>
      <c r="E75" s="11"/>
      <c r="F75" s="11" t="s">
        <v>31</v>
      </c>
      <c r="G75" s="11" t="s">
        <v>242</v>
      </c>
      <c r="H75" s="11"/>
      <c r="I75" s="12">
        <v>0.23</v>
      </c>
      <c r="J75" s="11"/>
      <c r="K75" s="11" t="s">
        <v>243</v>
      </c>
      <c r="L75" s="11" t="s">
        <v>34</v>
      </c>
      <c r="M75" s="13"/>
    </row>
    <row r="76" spans="1:13" x14ac:dyDescent="0.3">
      <c r="A76" s="11" t="s">
        <v>244</v>
      </c>
      <c r="B76" s="11" t="s">
        <v>28</v>
      </c>
      <c r="C76" s="11" t="s">
        <v>202</v>
      </c>
      <c r="D76" s="11" t="s">
        <v>245</v>
      </c>
      <c r="E76" s="11"/>
      <c r="F76" s="11" t="s">
        <v>129</v>
      </c>
      <c r="G76" s="11" t="s">
        <v>133</v>
      </c>
      <c r="H76" s="11"/>
      <c r="I76" s="12">
        <v>0.7</v>
      </c>
      <c r="J76" s="11"/>
      <c r="K76" s="11" t="s">
        <v>246</v>
      </c>
      <c r="L76" s="11" t="s">
        <v>34</v>
      </c>
      <c r="M76" s="13"/>
    </row>
    <row r="77" spans="1:13" x14ac:dyDescent="0.3">
      <c r="A77" s="11" t="s">
        <v>247</v>
      </c>
      <c r="B77" s="11" t="s">
        <v>28</v>
      </c>
      <c r="C77" s="11" t="s">
        <v>202</v>
      </c>
      <c r="D77" s="11" t="s">
        <v>245</v>
      </c>
      <c r="E77" s="11"/>
      <c r="F77" s="11" t="s">
        <v>129</v>
      </c>
      <c r="G77" s="11" t="s">
        <v>136</v>
      </c>
      <c r="H77" s="11"/>
      <c r="I77" s="12">
        <v>0.6</v>
      </c>
      <c r="J77" s="11"/>
      <c r="K77" s="11" t="s">
        <v>248</v>
      </c>
      <c r="L77" s="11" t="s">
        <v>34</v>
      </c>
      <c r="M77" s="13"/>
    </row>
    <row r="78" spans="1:13" x14ac:dyDescent="0.3">
      <c r="A78" s="11" t="s">
        <v>249</v>
      </c>
      <c r="B78" s="11" t="s">
        <v>28</v>
      </c>
      <c r="C78" s="11" t="s">
        <v>202</v>
      </c>
      <c r="D78" s="11" t="s">
        <v>245</v>
      </c>
      <c r="E78" s="11"/>
      <c r="F78" s="11" t="s">
        <v>129</v>
      </c>
      <c r="G78" s="11" t="s">
        <v>139</v>
      </c>
      <c r="H78" s="11"/>
      <c r="I78" s="12">
        <v>0.6</v>
      </c>
      <c r="J78" s="11"/>
      <c r="K78" s="11" t="s">
        <v>250</v>
      </c>
      <c r="L78" s="11" t="s">
        <v>34</v>
      </c>
      <c r="M78" s="13"/>
    </row>
    <row r="79" spans="1:13" x14ac:dyDescent="0.3">
      <c r="A79" s="11" t="s">
        <v>251</v>
      </c>
      <c r="B79" s="11" t="s">
        <v>28</v>
      </c>
      <c r="C79" s="11" t="s">
        <v>252</v>
      </c>
      <c r="D79" s="11" t="s">
        <v>253</v>
      </c>
      <c r="E79" s="11"/>
      <c r="F79" s="11" t="s">
        <v>31</v>
      </c>
      <c r="G79" s="11" t="s">
        <v>254</v>
      </c>
      <c r="H79" s="11"/>
      <c r="I79" s="12">
        <v>5.7</v>
      </c>
      <c r="J79" s="11"/>
      <c r="K79" s="11" t="s">
        <v>255</v>
      </c>
      <c r="L79" s="11" t="s">
        <v>34</v>
      </c>
      <c r="M79" s="13"/>
    </row>
    <row r="80" spans="1:13" x14ac:dyDescent="0.3">
      <c r="A80" s="11" t="s">
        <v>256</v>
      </c>
      <c r="B80" s="11" t="s">
        <v>28</v>
      </c>
      <c r="C80" s="11" t="s">
        <v>252</v>
      </c>
      <c r="D80" s="11" t="s">
        <v>257</v>
      </c>
      <c r="E80" s="11"/>
      <c r="F80" s="11" t="s">
        <v>37</v>
      </c>
      <c r="G80" s="11" t="s">
        <v>258</v>
      </c>
      <c r="H80" s="11" t="s">
        <v>57</v>
      </c>
      <c r="I80" s="12">
        <v>2.2999999999999998</v>
      </c>
      <c r="J80" s="11"/>
      <c r="K80" s="11" t="s">
        <v>259</v>
      </c>
      <c r="L80" s="11" t="s">
        <v>34</v>
      </c>
      <c r="M80" s="13"/>
    </row>
    <row r="81" spans="1:13" x14ac:dyDescent="0.3">
      <c r="A81" s="11" t="s">
        <v>260</v>
      </c>
      <c r="B81" s="11" t="s">
        <v>28</v>
      </c>
      <c r="C81" s="11" t="s">
        <v>252</v>
      </c>
      <c r="D81" s="11" t="s">
        <v>257</v>
      </c>
      <c r="E81" s="11"/>
      <c r="F81" s="11" t="s">
        <v>37</v>
      </c>
      <c r="G81" s="11" t="s">
        <v>108</v>
      </c>
      <c r="H81" s="11" t="s">
        <v>109</v>
      </c>
      <c r="I81" s="12">
        <v>0.6</v>
      </c>
      <c r="J81" s="11"/>
      <c r="K81" s="11" t="s">
        <v>261</v>
      </c>
      <c r="L81" s="11" t="s">
        <v>34</v>
      </c>
      <c r="M81" s="13"/>
    </row>
    <row r="82" spans="1:13" x14ac:dyDescent="0.3">
      <c r="A82" s="11" t="s">
        <v>262</v>
      </c>
      <c r="B82" s="11" t="s">
        <v>28</v>
      </c>
      <c r="C82" s="11" t="s">
        <v>252</v>
      </c>
      <c r="D82" s="11" t="s">
        <v>257</v>
      </c>
      <c r="E82" s="11"/>
      <c r="F82" s="11" t="s">
        <v>37</v>
      </c>
      <c r="G82" s="11" t="s">
        <v>263</v>
      </c>
      <c r="H82" s="11" t="s">
        <v>109</v>
      </c>
      <c r="I82" s="12">
        <v>0.45</v>
      </c>
      <c r="J82" s="11"/>
      <c r="K82" s="11" t="s">
        <v>264</v>
      </c>
      <c r="L82" s="11" t="s">
        <v>34</v>
      </c>
      <c r="M82" s="13"/>
    </row>
    <row r="83" spans="1:13" x14ac:dyDescent="0.3">
      <c r="A83" s="11" t="s">
        <v>265</v>
      </c>
      <c r="B83" s="11" t="s">
        <v>28</v>
      </c>
      <c r="C83" s="11" t="s">
        <v>252</v>
      </c>
      <c r="D83" s="11" t="s">
        <v>257</v>
      </c>
      <c r="E83" s="11"/>
      <c r="F83" s="11" t="s">
        <v>37</v>
      </c>
      <c r="G83" s="11" t="s">
        <v>118</v>
      </c>
      <c r="H83" s="11" t="s">
        <v>109</v>
      </c>
      <c r="I83" s="12">
        <v>0.35</v>
      </c>
      <c r="J83" s="11"/>
      <c r="K83" s="11" t="s">
        <v>266</v>
      </c>
      <c r="L83" s="11" t="s">
        <v>34</v>
      </c>
      <c r="M83" s="13"/>
    </row>
    <row r="84" spans="1:13" x14ac:dyDescent="0.3">
      <c r="A84" s="11" t="s">
        <v>267</v>
      </c>
      <c r="B84" s="11" t="s">
        <v>28</v>
      </c>
      <c r="C84" s="11" t="s">
        <v>252</v>
      </c>
      <c r="D84" s="11" t="s">
        <v>257</v>
      </c>
      <c r="E84" s="11"/>
      <c r="F84" s="11" t="s">
        <v>37</v>
      </c>
      <c r="G84" s="11" t="s">
        <v>125</v>
      </c>
      <c r="H84" s="11" t="s">
        <v>109</v>
      </c>
      <c r="I84" s="12">
        <v>0.35</v>
      </c>
      <c r="J84" s="11"/>
      <c r="K84" s="11" t="s">
        <v>268</v>
      </c>
      <c r="L84" s="11" t="s">
        <v>34</v>
      </c>
      <c r="M84" s="13"/>
    </row>
    <row r="85" spans="1:13" x14ac:dyDescent="0.3">
      <c r="A85" s="11" t="s">
        <v>269</v>
      </c>
      <c r="B85" s="11" t="s">
        <v>28</v>
      </c>
      <c r="C85" s="11" t="s">
        <v>252</v>
      </c>
      <c r="D85" s="11" t="s">
        <v>270</v>
      </c>
      <c r="E85" s="11"/>
      <c r="F85" s="11" t="s">
        <v>37</v>
      </c>
      <c r="G85" s="11" t="s">
        <v>271</v>
      </c>
      <c r="H85" s="11"/>
      <c r="I85" s="12">
        <v>1.7</v>
      </c>
      <c r="J85" s="11"/>
      <c r="K85" s="11" t="s">
        <v>272</v>
      </c>
      <c r="L85" s="11" t="s">
        <v>34</v>
      </c>
      <c r="M85" s="13"/>
    </row>
    <row r="86" spans="1:13" x14ac:dyDescent="0.3">
      <c r="A86" s="11" t="s">
        <v>273</v>
      </c>
      <c r="B86" s="11" t="s">
        <v>28</v>
      </c>
      <c r="C86" s="11" t="s">
        <v>252</v>
      </c>
      <c r="D86" s="11" t="s">
        <v>270</v>
      </c>
      <c r="E86" s="11"/>
      <c r="F86" s="11" t="s">
        <v>37</v>
      </c>
      <c r="G86" s="11" t="s">
        <v>108</v>
      </c>
      <c r="H86" s="11" t="s">
        <v>109</v>
      </c>
      <c r="I86" s="12">
        <v>0.6</v>
      </c>
      <c r="J86" s="11"/>
      <c r="K86" s="11" t="s">
        <v>274</v>
      </c>
      <c r="L86" s="11" t="s">
        <v>34</v>
      </c>
      <c r="M86" s="13"/>
    </row>
    <row r="87" spans="1:13" x14ac:dyDescent="0.3">
      <c r="A87" s="11" t="s">
        <v>275</v>
      </c>
      <c r="B87" s="11" t="s">
        <v>28</v>
      </c>
      <c r="C87" s="11" t="s">
        <v>252</v>
      </c>
      <c r="D87" s="11" t="s">
        <v>270</v>
      </c>
      <c r="E87" s="11"/>
      <c r="F87" s="11" t="s">
        <v>37</v>
      </c>
      <c r="G87" s="11" t="s">
        <v>112</v>
      </c>
      <c r="H87" s="11" t="s">
        <v>109</v>
      </c>
      <c r="I87" s="12">
        <v>0.45</v>
      </c>
      <c r="J87" s="11"/>
      <c r="K87" s="11" t="s">
        <v>276</v>
      </c>
      <c r="L87" s="11" t="s">
        <v>34</v>
      </c>
      <c r="M87" s="13"/>
    </row>
    <row r="88" spans="1:13" x14ac:dyDescent="0.3">
      <c r="A88" s="11" t="s">
        <v>277</v>
      </c>
      <c r="B88" s="11" t="s">
        <v>28</v>
      </c>
      <c r="C88" s="11" t="s">
        <v>252</v>
      </c>
      <c r="D88" s="11" t="s">
        <v>270</v>
      </c>
      <c r="E88" s="11"/>
      <c r="F88" s="11" t="s">
        <v>37</v>
      </c>
      <c r="G88" s="11" t="s">
        <v>115</v>
      </c>
      <c r="H88" s="11" t="s">
        <v>109</v>
      </c>
      <c r="I88" s="12">
        <v>0.45</v>
      </c>
      <c r="J88" s="11"/>
      <c r="K88" s="11" t="s">
        <v>278</v>
      </c>
      <c r="L88" s="11" t="s">
        <v>34</v>
      </c>
      <c r="M88" s="13"/>
    </row>
    <row r="89" spans="1:13" x14ac:dyDescent="0.3">
      <c r="A89" s="11" t="s">
        <v>279</v>
      </c>
      <c r="B89" s="11" t="s">
        <v>28</v>
      </c>
      <c r="C89" s="11" t="s">
        <v>252</v>
      </c>
      <c r="D89" s="11" t="s">
        <v>270</v>
      </c>
      <c r="E89" s="11"/>
      <c r="F89" s="11" t="s">
        <v>37</v>
      </c>
      <c r="G89" s="11" t="s">
        <v>118</v>
      </c>
      <c r="H89" s="11" t="s">
        <v>109</v>
      </c>
      <c r="I89" s="12">
        <v>0.35</v>
      </c>
      <c r="J89" s="11"/>
      <c r="K89" s="11" t="s">
        <v>280</v>
      </c>
      <c r="L89" s="11" t="s">
        <v>34</v>
      </c>
      <c r="M89" s="13"/>
    </row>
    <row r="90" spans="1:13" x14ac:dyDescent="0.3">
      <c r="A90" s="11" t="s">
        <v>281</v>
      </c>
      <c r="B90" s="11" t="s">
        <v>28</v>
      </c>
      <c r="C90" s="11" t="s">
        <v>252</v>
      </c>
      <c r="D90" s="11" t="s">
        <v>270</v>
      </c>
      <c r="E90" s="11"/>
      <c r="F90" s="11" t="s">
        <v>37</v>
      </c>
      <c r="G90" s="11" t="s">
        <v>121</v>
      </c>
      <c r="H90" s="11" t="s">
        <v>109</v>
      </c>
      <c r="I90" s="12">
        <v>0.35</v>
      </c>
      <c r="J90" s="11"/>
      <c r="K90" s="11" t="s">
        <v>282</v>
      </c>
      <c r="L90" s="11" t="s">
        <v>34</v>
      </c>
      <c r="M90" s="13"/>
    </row>
    <row r="91" spans="1:13" x14ac:dyDescent="0.3">
      <c r="A91" s="11" t="s">
        <v>283</v>
      </c>
      <c r="B91" s="11" t="s">
        <v>28</v>
      </c>
      <c r="C91" s="11" t="s">
        <v>252</v>
      </c>
      <c r="D91" s="11" t="s">
        <v>270</v>
      </c>
      <c r="E91" s="11"/>
      <c r="F91" s="11" t="s">
        <v>124</v>
      </c>
      <c r="G91" s="11" t="s">
        <v>125</v>
      </c>
      <c r="H91" s="11" t="s">
        <v>126</v>
      </c>
      <c r="I91" s="12">
        <v>0.35</v>
      </c>
      <c r="J91" s="11"/>
      <c r="K91" s="11" t="s">
        <v>284</v>
      </c>
      <c r="L91" s="11" t="s">
        <v>34</v>
      </c>
      <c r="M91" s="13"/>
    </row>
    <row r="92" spans="1:13" x14ac:dyDescent="0.3">
      <c r="A92" s="11" t="s">
        <v>285</v>
      </c>
      <c r="B92" s="11" t="s">
        <v>28</v>
      </c>
      <c r="C92" s="11" t="s">
        <v>252</v>
      </c>
      <c r="D92" s="11" t="s">
        <v>270</v>
      </c>
      <c r="E92" s="11"/>
      <c r="F92" s="11" t="s">
        <v>129</v>
      </c>
      <c r="G92" s="11" t="s">
        <v>164</v>
      </c>
      <c r="H92" s="11"/>
      <c r="I92" s="12">
        <v>1.7</v>
      </c>
      <c r="J92" s="11"/>
      <c r="K92" s="11" t="s">
        <v>286</v>
      </c>
      <c r="L92" s="11" t="s">
        <v>34</v>
      </c>
      <c r="M92" s="13"/>
    </row>
    <row r="93" spans="1:13" x14ac:dyDescent="0.3">
      <c r="A93" s="11" t="s">
        <v>287</v>
      </c>
      <c r="B93" s="11" t="s">
        <v>28</v>
      </c>
      <c r="C93" s="11" t="s">
        <v>252</v>
      </c>
      <c r="D93" s="11" t="s">
        <v>270</v>
      </c>
      <c r="E93" s="11"/>
      <c r="F93" s="11" t="s">
        <v>129</v>
      </c>
      <c r="G93" s="11" t="s">
        <v>130</v>
      </c>
      <c r="H93" s="11"/>
      <c r="I93" s="12">
        <v>1</v>
      </c>
      <c r="J93" s="11"/>
      <c r="K93" s="11" t="s">
        <v>288</v>
      </c>
      <c r="L93" s="11" t="s">
        <v>34</v>
      </c>
      <c r="M93" s="13"/>
    </row>
    <row r="94" spans="1:13" x14ac:dyDescent="0.3">
      <c r="A94" s="11" t="s">
        <v>289</v>
      </c>
      <c r="B94" s="11" t="s">
        <v>28</v>
      </c>
      <c r="C94" s="11" t="s">
        <v>252</v>
      </c>
      <c r="D94" s="11" t="s">
        <v>270</v>
      </c>
      <c r="E94" s="11"/>
      <c r="F94" s="11" t="s">
        <v>129</v>
      </c>
      <c r="G94" s="11" t="s">
        <v>133</v>
      </c>
      <c r="H94" s="11"/>
      <c r="I94" s="12">
        <v>0.6</v>
      </c>
      <c r="J94" s="11"/>
      <c r="K94" s="11" t="s">
        <v>290</v>
      </c>
      <c r="L94" s="11" t="s">
        <v>34</v>
      </c>
      <c r="M94" s="13"/>
    </row>
    <row r="95" spans="1:13" x14ac:dyDescent="0.3">
      <c r="A95" s="11" t="s">
        <v>291</v>
      </c>
      <c r="B95" s="11" t="s">
        <v>28</v>
      </c>
      <c r="C95" s="11" t="s">
        <v>252</v>
      </c>
      <c r="D95" s="11" t="s">
        <v>270</v>
      </c>
      <c r="E95" s="11"/>
      <c r="F95" s="11" t="s">
        <v>129</v>
      </c>
      <c r="G95" s="11" t="s">
        <v>136</v>
      </c>
      <c r="H95" s="11"/>
      <c r="I95" s="12">
        <v>0.45</v>
      </c>
      <c r="J95" s="11"/>
      <c r="K95" s="11" t="s">
        <v>292</v>
      </c>
      <c r="L95" s="11" t="s">
        <v>34</v>
      </c>
      <c r="M95" s="13"/>
    </row>
    <row r="96" spans="1:13" x14ac:dyDescent="0.3">
      <c r="A96" s="11" t="s">
        <v>293</v>
      </c>
      <c r="B96" s="11" t="s">
        <v>28</v>
      </c>
      <c r="C96" s="11" t="s">
        <v>252</v>
      </c>
      <c r="D96" s="11" t="s">
        <v>270</v>
      </c>
      <c r="E96" s="11"/>
      <c r="F96" s="11" t="s">
        <v>129</v>
      </c>
      <c r="G96" s="11" t="s">
        <v>139</v>
      </c>
      <c r="H96" s="11"/>
      <c r="I96" s="12">
        <v>0.45</v>
      </c>
      <c r="J96" s="11"/>
      <c r="K96" s="11" t="s">
        <v>294</v>
      </c>
      <c r="L96" s="11" t="s">
        <v>34</v>
      </c>
      <c r="M96" s="13"/>
    </row>
    <row r="97" spans="1:13" x14ac:dyDescent="0.3">
      <c r="A97" s="11" t="s">
        <v>295</v>
      </c>
      <c r="B97" s="11" t="s">
        <v>28</v>
      </c>
      <c r="C97" s="11" t="s">
        <v>252</v>
      </c>
      <c r="D97" s="11" t="s">
        <v>270</v>
      </c>
      <c r="E97" s="11"/>
      <c r="F97" s="11" t="s">
        <v>129</v>
      </c>
      <c r="G97" s="11" t="s">
        <v>175</v>
      </c>
      <c r="H97" s="11"/>
      <c r="I97" s="12">
        <v>0.3</v>
      </c>
      <c r="J97" s="11"/>
      <c r="K97" s="11" t="s">
        <v>296</v>
      </c>
      <c r="L97" s="11" t="s">
        <v>34</v>
      </c>
      <c r="M97" s="13"/>
    </row>
    <row r="98" spans="1:13" x14ac:dyDescent="0.3">
      <c r="A98" s="11" t="s">
        <v>297</v>
      </c>
      <c r="B98" s="11" t="s">
        <v>28</v>
      </c>
      <c r="C98" s="11" t="s">
        <v>252</v>
      </c>
      <c r="D98" s="11" t="s">
        <v>270</v>
      </c>
      <c r="E98" s="11"/>
      <c r="F98" s="11" t="s">
        <v>129</v>
      </c>
      <c r="G98" s="11" t="s">
        <v>145</v>
      </c>
      <c r="H98" s="11" t="s">
        <v>146</v>
      </c>
      <c r="I98" s="12">
        <v>0.25</v>
      </c>
      <c r="J98" s="11"/>
      <c r="K98" s="11" t="s">
        <v>298</v>
      </c>
      <c r="L98" s="11" t="s">
        <v>34</v>
      </c>
      <c r="M98" s="13"/>
    </row>
    <row r="99" spans="1:13" x14ac:dyDescent="0.3">
      <c r="A99" s="11" t="s">
        <v>299</v>
      </c>
      <c r="B99" s="11" t="s">
        <v>28</v>
      </c>
      <c r="C99" s="11" t="s">
        <v>252</v>
      </c>
      <c r="D99" s="11" t="s">
        <v>300</v>
      </c>
      <c r="E99" s="11"/>
      <c r="F99" s="11" t="s">
        <v>31</v>
      </c>
      <c r="G99" s="11" t="s">
        <v>57</v>
      </c>
      <c r="H99" s="11"/>
      <c r="I99" s="12">
        <v>5.7</v>
      </c>
      <c r="J99" s="11"/>
      <c r="K99" s="11" t="s">
        <v>301</v>
      </c>
      <c r="L99" s="11" t="s">
        <v>34</v>
      </c>
      <c r="M99" s="13"/>
    </row>
    <row r="100" spans="1:13" x14ac:dyDescent="0.3">
      <c r="A100" s="11" t="s">
        <v>302</v>
      </c>
      <c r="B100" s="11" t="s">
        <v>28</v>
      </c>
      <c r="C100" s="11" t="s">
        <v>303</v>
      </c>
      <c r="D100" s="11" t="s">
        <v>304</v>
      </c>
      <c r="E100" s="11"/>
      <c r="F100" s="11" t="s">
        <v>31</v>
      </c>
      <c r="G100" s="11" t="s">
        <v>63</v>
      </c>
      <c r="H100" s="11"/>
      <c r="I100" s="12">
        <v>0.4</v>
      </c>
      <c r="J100" s="11"/>
      <c r="K100" s="11" t="s">
        <v>305</v>
      </c>
      <c r="L100" s="11" t="s">
        <v>34</v>
      </c>
      <c r="M100" s="13" t="s">
        <v>306</v>
      </c>
    </row>
    <row r="101" spans="1:13" x14ac:dyDescent="0.3">
      <c r="A101" s="11" t="s">
        <v>307</v>
      </c>
      <c r="B101" s="11" t="s">
        <v>28</v>
      </c>
      <c r="C101" s="11" t="s">
        <v>303</v>
      </c>
      <c r="D101" s="11" t="s">
        <v>304</v>
      </c>
      <c r="E101" s="11"/>
      <c r="F101" s="11" t="s">
        <v>31</v>
      </c>
      <c r="G101" s="11" t="s">
        <v>57</v>
      </c>
      <c r="H101" s="11"/>
      <c r="I101" s="12">
        <v>0.76</v>
      </c>
      <c r="J101" s="11"/>
      <c r="K101" s="11" t="s">
        <v>308</v>
      </c>
      <c r="L101" s="11" t="s">
        <v>34</v>
      </c>
      <c r="M101" s="13" t="s">
        <v>306</v>
      </c>
    </row>
    <row r="102" spans="1:13" x14ac:dyDescent="0.3">
      <c r="A102" s="11" t="s">
        <v>309</v>
      </c>
      <c r="B102" s="11" t="s">
        <v>28</v>
      </c>
      <c r="C102" s="11" t="s">
        <v>303</v>
      </c>
      <c r="D102" s="11" t="s">
        <v>310</v>
      </c>
      <c r="E102" s="11"/>
      <c r="F102" s="11" t="s">
        <v>37</v>
      </c>
      <c r="G102" s="11" t="s">
        <v>108</v>
      </c>
      <c r="H102" s="11" t="s">
        <v>109</v>
      </c>
      <c r="I102" s="12">
        <v>0.6</v>
      </c>
      <c r="J102" s="11"/>
      <c r="K102" s="11" t="s">
        <v>311</v>
      </c>
      <c r="L102" s="11" t="s">
        <v>34</v>
      </c>
      <c r="M102" s="13" t="s">
        <v>306</v>
      </c>
    </row>
    <row r="103" spans="1:13" x14ac:dyDescent="0.3">
      <c r="A103" s="11" t="s">
        <v>312</v>
      </c>
      <c r="B103" s="11" t="s">
        <v>28</v>
      </c>
      <c r="C103" s="11" t="s">
        <v>303</v>
      </c>
      <c r="D103" s="11" t="s">
        <v>310</v>
      </c>
      <c r="E103" s="11"/>
      <c r="F103" s="11" t="s">
        <v>37</v>
      </c>
      <c r="G103" s="11" t="s">
        <v>112</v>
      </c>
      <c r="H103" s="11" t="s">
        <v>109</v>
      </c>
      <c r="I103" s="12">
        <v>0.45</v>
      </c>
      <c r="J103" s="11"/>
      <c r="K103" s="11" t="s">
        <v>313</v>
      </c>
      <c r="L103" s="11" t="s">
        <v>34</v>
      </c>
      <c r="M103" s="13" t="s">
        <v>306</v>
      </c>
    </row>
    <row r="104" spans="1:13" x14ac:dyDescent="0.3">
      <c r="A104" s="11" t="s">
        <v>314</v>
      </c>
      <c r="B104" s="11" t="s">
        <v>28</v>
      </c>
      <c r="C104" s="11" t="s">
        <v>303</v>
      </c>
      <c r="D104" s="11" t="s">
        <v>310</v>
      </c>
      <c r="E104" s="11"/>
      <c r="F104" s="11" t="s">
        <v>37</v>
      </c>
      <c r="G104" s="11" t="s">
        <v>115</v>
      </c>
      <c r="H104" s="11" t="s">
        <v>109</v>
      </c>
      <c r="I104" s="12">
        <v>0.45</v>
      </c>
      <c r="J104" s="11"/>
      <c r="K104" s="11" t="s">
        <v>315</v>
      </c>
      <c r="L104" s="11" t="s">
        <v>34</v>
      </c>
      <c r="M104" s="13" t="s">
        <v>306</v>
      </c>
    </row>
    <row r="105" spans="1:13" x14ac:dyDescent="0.3">
      <c r="A105" s="11" t="s">
        <v>316</v>
      </c>
      <c r="B105" s="11" t="s">
        <v>28</v>
      </c>
      <c r="C105" s="11" t="s">
        <v>303</v>
      </c>
      <c r="D105" s="11" t="s">
        <v>310</v>
      </c>
      <c r="E105" s="11"/>
      <c r="F105" s="11" t="s">
        <v>37</v>
      </c>
      <c r="G105" s="11" t="s">
        <v>118</v>
      </c>
      <c r="H105" s="11" t="s">
        <v>109</v>
      </c>
      <c r="I105" s="12">
        <v>0.35</v>
      </c>
      <c r="J105" s="11"/>
      <c r="K105" s="11" t="s">
        <v>317</v>
      </c>
      <c r="L105" s="11" t="s">
        <v>34</v>
      </c>
      <c r="M105" s="13" t="s">
        <v>306</v>
      </c>
    </row>
    <row r="106" spans="1:13" x14ac:dyDescent="0.3">
      <c r="A106" s="11" t="s">
        <v>318</v>
      </c>
      <c r="B106" s="11" t="s">
        <v>28</v>
      </c>
      <c r="C106" s="11" t="s">
        <v>303</v>
      </c>
      <c r="D106" s="11" t="s">
        <v>310</v>
      </c>
      <c r="E106" s="11"/>
      <c r="F106" s="11" t="s">
        <v>37</v>
      </c>
      <c r="G106" s="11" t="s">
        <v>121</v>
      </c>
      <c r="H106" s="11" t="s">
        <v>109</v>
      </c>
      <c r="I106" s="12">
        <v>0.35</v>
      </c>
      <c r="J106" s="11"/>
      <c r="K106" s="11" t="s">
        <v>319</v>
      </c>
      <c r="L106" s="11" t="s">
        <v>34</v>
      </c>
      <c r="M106" s="13" t="s">
        <v>306</v>
      </c>
    </row>
    <row r="107" spans="1:13" x14ac:dyDescent="0.3">
      <c r="A107" s="11" t="s">
        <v>320</v>
      </c>
      <c r="B107" s="11" t="s">
        <v>28</v>
      </c>
      <c r="C107" s="11" t="s">
        <v>303</v>
      </c>
      <c r="D107" s="11" t="s">
        <v>310</v>
      </c>
      <c r="E107" s="11"/>
      <c r="F107" s="11" t="s">
        <v>31</v>
      </c>
      <c r="G107" s="11" t="s">
        <v>57</v>
      </c>
      <c r="H107" s="11"/>
      <c r="I107" s="12">
        <v>1.2</v>
      </c>
      <c r="J107" s="11"/>
      <c r="K107" s="11" t="s">
        <v>321</v>
      </c>
      <c r="L107" s="11" t="s">
        <v>34</v>
      </c>
      <c r="M107" s="13" t="s">
        <v>306</v>
      </c>
    </row>
    <row r="108" spans="1:13" x14ac:dyDescent="0.3">
      <c r="A108" s="11" t="s">
        <v>322</v>
      </c>
      <c r="B108" s="11" t="s">
        <v>28</v>
      </c>
      <c r="C108" s="11" t="s">
        <v>303</v>
      </c>
      <c r="D108" s="11" t="s">
        <v>310</v>
      </c>
      <c r="E108" s="11"/>
      <c r="F108" s="11" t="s">
        <v>31</v>
      </c>
      <c r="G108" s="11" t="s">
        <v>323</v>
      </c>
      <c r="H108" s="11"/>
      <c r="I108" s="12">
        <v>0.6</v>
      </c>
      <c r="J108" s="11"/>
      <c r="K108" s="11" t="s">
        <v>324</v>
      </c>
      <c r="L108" s="11" t="s">
        <v>34</v>
      </c>
      <c r="M108" s="13" t="s">
        <v>306</v>
      </c>
    </row>
    <row r="109" spans="1:13" x14ac:dyDescent="0.3">
      <c r="A109" s="11" t="s">
        <v>325</v>
      </c>
      <c r="B109" s="11" t="s">
        <v>28</v>
      </c>
      <c r="C109" s="11" t="s">
        <v>303</v>
      </c>
      <c r="D109" s="11" t="s">
        <v>310</v>
      </c>
      <c r="E109" s="11"/>
      <c r="F109" s="11" t="s">
        <v>31</v>
      </c>
      <c r="G109" s="11" t="s">
        <v>326</v>
      </c>
      <c r="H109" s="11"/>
      <c r="I109" s="12">
        <v>0.37</v>
      </c>
      <c r="J109" s="11"/>
      <c r="K109" s="11" t="s">
        <v>327</v>
      </c>
      <c r="L109" s="11" t="s">
        <v>34</v>
      </c>
      <c r="M109" s="13" t="s">
        <v>306</v>
      </c>
    </row>
    <row r="110" spans="1:13" x14ac:dyDescent="0.3">
      <c r="A110" s="11" t="s">
        <v>328</v>
      </c>
      <c r="B110" s="11" t="s">
        <v>28</v>
      </c>
      <c r="C110" s="11" t="s">
        <v>303</v>
      </c>
      <c r="D110" s="11" t="s">
        <v>310</v>
      </c>
      <c r="E110" s="11"/>
      <c r="F110" s="11" t="s">
        <v>31</v>
      </c>
      <c r="G110" s="11" t="s">
        <v>329</v>
      </c>
      <c r="H110" s="11"/>
      <c r="I110" s="12">
        <v>0.27</v>
      </c>
      <c r="J110" s="11"/>
      <c r="K110" s="11" t="s">
        <v>330</v>
      </c>
      <c r="L110" s="11" t="s">
        <v>34</v>
      </c>
      <c r="M110" s="13" t="s">
        <v>306</v>
      </c>
    </row>
    <row r="111" spans="1:13" x14ac:dyDescent="0.3">
      <c r="A111" s="11" t="s">
        <v>331</v>
      </c>
      <c r="B111" s="11" t="s">
        <v>28</v>
      </c>
      <c r="C111" s="11" t="s">
        <v>303</v>
      </c>
      <c r="D111" s="11" t="s">
        <v>310</v>
      </c>
      <c r="E111" s="11"/>
      <c r="F111" s="11" t="s">
        <v>31</v>
      </c>
      <c r="G111" s="11" t="s">
        <v>332</v>
      </c>
      <c r="H111" s="11"/>
      <c r="I111" s="12">
        <v>0.21</v>
      </c>
      <c r="J111" s="11"/>
      <c r="K111" s="11" t="s">
        <v>333</v>
      </c>
      <c r="L111" s="11" t="s">
        <v>34</v>
      </c>
      <c r="M111" s="13" t="s">
        <v>306</v>
      </c>
    </row>
    <row r="112" spans="1:13" x14ac:dyDescent="0.3">
      <c r="A112" s="11" t="s">
        <v>334</v>
      </c>
      <c r="B112" s="11" t="s">
        <v>28</v>
      </c>
      <c r="C112" s="11" t="s">
        <v>303</v>
      </c>
      <c r="D112" s="11" t="s">
        <v>310</v>
      </c>
      <c r="E112" s="11"/>
      <c r="F112" s="11" t="s">
        <v>31</v>
      </c>
      <c r="G112" s="11" t="s">
        <v>335</v>
      </c>
      <c r="H112" s="11"/>
      <c r="I112" s="12">
        <v>0.15</v>
      </c>
      <c r="J112" s="11"/>
      <c r="K112" s="11" t="s">
        <v>336</v>
      </c>
      <c r="L112" s="11" t="s">
        <v>34</v>
      </c>
      <c r="M112" s="13" t="s">
        <v>306</v>
      </c>
    </row>
    <row r="113" spans="1:13" x14ac:dyDescent="0.3">
      <c r="A113" s="11" t="s">
        <v>337</v>
      </c>
      <c r="B113" s="11" t="s">
        <v>28</v>
      </c>
      <c r="C113" s="11" t="s">
        <v>303</v>
      </c>
      <c r="D113" s="11" t="s">
        <v>310</v>
      </c>
      <c r="E113" s="11"/>
      <c r="F113" s="11" t="s">
        <v>31</v>
      </c>
      <c r="G113" s="11" t="s">
        <v>338</v>
      </c>
      <c r="H113" s="11"/>
      <c r="I113" s="12">
        <v>0.12</v>
      </c>
      <c r="J113" s="11"/>
      <c r="K113" s="11" t="s">
        <v>339</v>
      </c>
      <c r="L113" s="11" t="s">
        <v>34</v>
      </c>
      <c r="M113" s="13" t="s">
        <v>306</v>
      </c>
    </row>
    <row r="114" spans="1:13" x14ac:dyDescent="0.3">
      <c r="A114" s="11" t="s">
        <v>340</v>
      </c>
      <c r="B114" s="11" t="s">
        <v>28</v>
      </c>
      <c r="C114" s="11" t="s">
        <v>303</v>
      </c>
      <c r="D114" s="11" t="s">
        <v>310</v>
      </c>
      <c r="E114" s="11"/>
      <c r="F114" s="11" t="s">
        <v>31</v>
      </c>
      <c r="G114" s="11" t="s">
        <v>341</v>
      </c>
      <c r="H114" s="11"/>
      <c r="I114" s="12">
        <v>0.09</v>
      </c>
      <c r="J114" s="11"/>
      <c r="K114" s="11" t="s">
        <v>342</v>
      </c>
      <c r="L114" s="11" t="s">
        <v>34</v>
      </c>
      <c r="M114" s="13" t="s">
        <v>306</v>
      </c>
    </row>
    <row r="115" spans="1:13" x14ac:dyDescent="0.3">
      <c r="A115" s="11" t="s">
        <v>343</v>
      </c>
      <c r="B115" s="11" t="s">
        <v>28</v>
      </c>
      <c r="C115" s="11" t="s">
        <v>303</v>
      </c>
      <c r="D115" s="11" t="s">
        <v>310</v>
      </c>
      <c r="E115" s="11"/>
      <c r="F115" s="11" t="s">
        <v>31</v>
      </c>
      <c r="G115" s="11" t="s">
        <v>344</v>
      </c>
      <c r="H115" s="11"/>
      <c r="I115" s="12">
        <v>0.08</v>
      </c>
      <c r="J115" s="11"/>
      <c r="K115" s="11" t="s">
        <v>345</v>
      </c>
      <c r="L115" s="11" t="s">
        <v>34</v>
      </c>
      <c r="M115" s="13" t="s">
        <v>306</v>
      </c>
    </row>
    <row r="116" spans="1:13" x14ac:dyDescent="0.3">
      <c r="A116" s="11" t="s">
        <v>346</v>
      </c>
      <c r="B116" s="11" t="s">
        <v>28</v>
      </c>
      <c r="C116" s="11" t="s">
        <v>303</v>
      </c>
      <c r="D116" s="11" t="s">
        <v>347</v>
      </c>
      <c r="E116" s="11"/>
      <c r="F116" s="11" t="s">
        <v>31</v>
      </c>
      <c r="G116" s="11" t="s">
        <v>50</v>
      </c>
      <c r="H116" s="11"/>
      <c r="I116" s="12">
        <v>0.45</v>
      </c>
      <c r="J116" s="11"/>
      <c r="K116" s="11" t="s">
        <v>348</v>
      </c>
      <c r="L116" s="11" t="s">
        <v>34</v>
      </c>
      <c r="M116" s="13" t="s">
        <v>306</v>
      </c>
    </row>
    <row r="117" spans="1:13" x14ac:dyDescent="0.3">
      <c r="A117" s="11" t="s">
        <v>349</v>
      </c>
      <c r="B117" s="11" t="s">
        <v>28</v>
      </c>
      <c r="C117" s="11" t="s">
        <v>303</v>
      </c>
      <c r="D117" s="11" t="s">
        <v>350</v>
      </c>
      <c r="E117" s="11"/>
      <c r="F117" s="11" t="s">
        <v>37</v>
      </c>
      <c r="G117" s="11" t="s">
        <v>351</v>
      </c>
      <c r="H117" s="11" t="s">
        <v>109</v>
      </c>
      <c r="I117" s="12">
        <v>0.6</v>
      </c>
      <c r="J117" s="11"/>
      <c r="K117" s="11" t="s">
        <v>352</v>
      </c>
      <c r="L117" s="11" t="s">
        <v>34</v>
      </c>
      <c r="M117" s="13" t="s">
        <v>306</v>
      </c>
    </row>
    <row r="118" spans="1:13" x14ac:dyDescent="0.3">
      <c r="A118" s="11" t="s">
        <v>353</v>
      </c>
      <c r="B118" s="11" t="s">
        <v>28</v>
      </c>
      <c r="C118" s="11" t="s">
        <v>303</v>
      </c>
      <c r="D118" s="11" t="s">
        <v>350</v>
      </c>
      <c r="E118" s="11"/>
      <c r="F118" s="11" t="s">
        <v>37</v>
      </c>
      <c r="G118" s="11" t="s">
        <v>112</v>
      </c>
      <c r="H118" s="11" t="s">
        <v>109</v>
      </c>
      <c r="I118" s="12">
        <v>0.45</v>
      </c>
      <c r="J118" s="11"/>
      <c r="K118" s="11" t="s">
        <v>354</v>
      </c>
      <c r="L118" s="11" t="s">
        <v>34</v>
      </c>
      <c r="M118" s="13" t="s">
        <v>306</v>
      </c>
    </row>
    <row r="119" spans="1:13" x14ac:dyDescent="0.3">
      <c r="A119" s="11" t="s">
        <v>355</v>
      </c>
      <c r="B119" s="11" t="s">
        <v>28</v>
      </c>
      <c r="C119" s="11" t="s">
        <v>303</v>
      </c>
      <c r="D119" s="11" t="s">
        <v>350</v>
      </c>
      <c r="E119" s="11"/>
      <c r="F119" s="11" t="s">
        <v>37</v>
      </c>
      <c r="G119" s="11" t="s">
        <v>115</v>
      </c>
      <c r="H119" s="11" t="s">
        <v>109</v>
      </c>
      <c r="I119" s="12">
        <v>0.45</v>
      </c>
      <c r="J119" s="11"/>
      <c r="K119" s="11" t="s">
        <v>356</v>
      </c>
      <c r="L119" s="11" t="s">
        <v>34</v>
      </c>
      <c r="M119" s="13" t="s">
        <v>306</v>
      </c>
    </row>
    <row r="120" spans="1:13" x14ac:dyDescent="0.3">
      <c r="A120" s="11" t="s">
        <v>357</v>
      </c>
      <c r="B120" s="11" t="s">
        <v>28</v>
      </c>
      <c r="C120" s="11" t="s">
        <v>303</v>
      </c>
      <c r="D120" s="11" t="s">
        <v>350</v>
      </c>
      <c r="E120" s="11"/>
      <c r="F120" s="11" t="s">
        <v>37</v>
      </c>
      <c r="G120" s="11" t="s">
        <v>118</v>
      </c>
      <c r="H120" s="11" t="s">
        <v>109</v>
      </c>
      <c r="I120" s="12">
        <v>0.35</v>
      </c>
      <c r="J120" s="11"/>
      <c r="K120" s="11" t="s">
        <v>358</v>
      </c>
      <c r="L120" s="11" t="s">
        <v>34</v>
      </c>
      <c r="M120" s="13" t="s">
        <v>306</v>
      </c>
    </row>
    <row r="121" spans="1:13" x14ac:dyDescent="0.3">
      <c r="A121" s="11" t="s">
        <v>359</v>
      </c>
      <c r="B121" s="11" t="s">
        <v>28</v>
      </c>
      <c r="C121" s="11" t="s">
        <v>303</v>
      </c>
      <c r="D121" s="11" t="s">
        <v>350</v>
      </c>
      <c r="E121" s="11"/>
      <c r="F121" s="11" t="s">
        <v>37</v>
      </c>
      <c r="G121" s="11" t="s">
        <v>121</v>
      </c>
      <c r="H121" s="11" t="s">
        <v>109</v>
      </c>
      <c r="I121" s="12">
        <v>0.3</v>
      </c>
      <c r="J121" s="11"/>
      <c r="K121" s="11" t="s">
        <v>360</v>
      </c>
      <c r="L121" s="11" t="s">
        <v>34</v>
      </c>
      <c r="M121" s="13" t="s">
        <v>306</v>
      </c>
    </row>
    <row r="122" spans="1:13" x14ac:dyDescent="0.3">
      <c r="A122" s="11" t="s">
        <v>361</v>
      </c>
      <c r="B122" s="11" t="s">
        <v>28</v>
      </c>
      <c r="C122" s="11" t="s">
        <v>303</v>
      </c>
      <c r="D122" s="11" t="s">
        <v>350</v>
      </c>
      <c r="E122" s="11"/>
      <c r="F122" s="11" t="s">
        <v>124</v>
      </c>
      <c r="G122" s="11" t="s">
        <v>210</v>
      </c>
      <c r="H122" s="11"/>
      <c r="I122" s="12">
        <v>0.45</v>
      </c>
      <c r="J122" s="11"/>
      <c r="K122" s="11" t="s">
        <v>362</v>
      </c>
      <c r="L122" s="11" t="s">
        <v>34</v>
      </c>
      <c r="M122" s="13" t="s">
        <v>306</v>
      </c>
    </row>
    <row r="123" spans="1:13" x14ac:dyDescent="0.3">
      <c r="A123" s="11" t="s">
        <v>363</v>
      </c>
      <c r="B123" s="11" t="s">
        <v>28</v>
      </c>
      <c r="C123" s="11" t="s">
        <v>303</v>
      </c>
      <c r="D123" s="11" t="s">
        <v>350</v>
      </c>
      <c r="E123" s="11"/>
      <c r="F123" s="11" t="s">
        <v>124</v>
      </c>
      <c r="G123" s="11" t="s">
        <v>213</v>
      </c>
      <c r="H123" s="11"/>
      <c r="I123" s="12">
        <v>0.35</v>
      </c>
      <c r="J123" s="11"/>
      <c r="K123" s="11" t="s">
        <v>364</v>
      </c>
      <c r="L123" s="11" t="s">
        <v>34</v>
      </c>
      <c r="M123" s="13" t="s">
        <v>306</v>
      </c>
    </row>
    <row r="124" spans="1:13" x14ac:dyDescent="0.3">
      <c r="A124" s="11" t="s">
        <v>365</v>
      </c>
      <c r="B124" s="11" t="s">
        <v>28</v>
      </c>
      <c r="C124" s="11" t="s">
        <v>303</v>
      </c>
      <c r="D124" s="11" t="s">
        <v>350</v>
      </c>
      <c r="E124" s="11"/>
      <c r="F124" s="11" t="s">
        <v>124</v>
      </c>
      <c r="G124" s="11" t="s">
        <v>125</v>
      </c>
      <c r="H124" s="11" t="s">
        <v>126</v>
      </c>
      <c r="I124" s="12">
        <v>0.35</v>
      </c>
      <c r="J124" s="11"/>
      <c r="K124" s="11" t="s">
        <v>366</v>
      </c>
      <c r="L124" s="11" t="s">
        <v>34</v>
      </c>
      <c r="M124" s="13" t="s">
        <v>306</v>
      </c>
    </row>
    <row r="125" spans="1:13" x14ac:dyDescent="0.3">
      <c r="A125" s="11" t="s">
        <v>367</v>
      </c>
      <c r="B125" s="11" t="s">
        <v>28</v>
      </c>
      <c r="C125" s="11" t="s">
        <v>303</v>
      </c>
      <c r="D125" s="11" t="s">
        <v>350</v>
      </c>
      <c r="E125" s="11"/>
      <c r="F125" s="11" t="s">
        <v>129</v>
      </c>
      <c r="G125" s="11" t="s">
        <v>368</v>
      </c>
      <c r="H125" s="11" t="s">
        <v>142</v>
      </c>
      <c r="I125" s="12">
        <v>0.45</v>
      </c>
      <c r="J125" s="11"/>
      <c r="K125" s="11" t="s">
        <v>369</v>
      </c>
      <c r="L125" s="11" t="s">
        <v>34</v>
      </c>
      <c r="M125" s="13" t="s">
        <v>306</v>
      </c>
    </row>
    <row r="126" spans="1:13" x14ac:dyDescent="0.3">
      <c r="A126" s="11" t="s">
        <v>370</v>
      </c>
      <c r="B126" s="11" t="s">
        <v>28</v>
      </c>
      <c r="C126" s="11" t="s">
        <v>303</v>
      </c>
      <c r="D126" s="11" t="s">
        <v>350</v>
      </c>
      <c r="E126" s="11"/>
      <c r="F126" s="11" t="s">
        <v>129</v>
      </c>
      <c r="G126" s="11" t="s">
        <v>371</v>
      </c>
      <c r="H126" s="11" t="s">
        <v>372</v>
      </c>
      <c r="I126" s="12">
        <v>0.45</v>
      </c>
      <c r="J126" s="11"/>
      <c r="K126" s="11" t="s">
        <v>373</v>
      </c>
      <c r="L126" s="11" t="s">
        <v>34</v>
      </c>
      <c r="M126" s="13" t="s">
        <v>306</v>
      </c>
    </row>
    <row r="127" spans="1:13" x14ac:dyDescent="0.3">
      <c r="A127" s="11" t="s">
        <v>374</v>
      </c>
      <c r="B127" s="11" t="s">
        <v>28</v>
      </c>
      <c r="C127" s="11" t="s">
        <v>303</v>
      </c>
      <c r="D127" s="11" t="s">
        <v>350</v>
      </c>
      <c r="E127" s="11"/>
      <c r="F127" s="11" t="s">
        <v>129</v>
      </c>
      <c r="G127" s="11" t="s">
        <v>118</v>
      </c>
      <c r="H127" s="11" t="s">
        <v>142</v>
      </c>
      <c r="I127" s="12">
        <v>0.3</v>
      </c>
      <c r="J127" s="11"/>
      <c r="K127" s="11" t="s">
        <v>375</v>
      </c>
      <c r="L127" s="11" t="s">
        <v>34</v>
      </c>
      <c r="M127" s="13" t="s">
        <v>306</v>
      </c>
    </row>
    <row r="128" spans="1:13" x14ac:dyDescent="0.3">
      <c r="A128" s="11" t="s">
        <v>376</v>
      </c>
      <c r="B128" s="11" t="s">
        <v>28</v>
      </c>
      <c r="C128" s="11" t="s">
        <v>303</v>
      </c>
      <c r="D128" s="11" t="s">
        <v>350</v>
      </c>
      <c r="E128" s="11"/>
      <c r="F128" s="11" t="s">
        <v>129</v>
      </c>
      <c r="G128" s="11" t="s">
        <v>125</v>
      </c>
      <c r="H128" s="11" t="s">
        <v>146</v>
      </c>
      <c r="I128" s="12">
        <v>0.3</v>
      </c>
      <c r="J128" s="11"/>
      <c r="K128" s="11" t="s">
        <v>377</v>
      </c>
      <c r="L128" s="11" t="s">
        <v>34</v>
      </c>
      <c r="M128" s="13" t="s">
        <v>306</v>
      </c>
    </row>
    <row r="129" spans="1:13" x14ac:dyDescent="0.3">
      <c r="A129" s="11" t="s">
        <v>378</v>
      </c>
      <c r="B129" s="11" t="s">
        <v>28</v>
      </c>
      <c r="C129" s="11" t="s">
        <v>303</v>
      </c>
      <c r="D129" s="11" t="s">
        <v>350</v>
      </c>
      <c r="E129" s="11"/>
      <c r="F129" s="11" t="s">
        <v>31</v>
      </c>
      <c r="G129" s="11" t="s">
        <v>379</v>
      </c>
      <c r="H129" s="11"/>
      <c r="I129" s="12">
        <v>0.42</v>
      </c>
      <c r="J129" s="11"/>
      <c r="K129" s="11" t="s">
        <v>380</v>
      </c>
      <c r="L129" s="11" t="s">
        <v>34</v>
      </c>
      <c r="M129" s="13" t="s">
        <v>306</v>
      </c>
    </row>
    <row r="130" spans="1:13" x14ac:dyDescent="0.3">
      <c r="A130" s="11" t="s">
        <v>381</v>
      </c>
      <c r="B130" s="11" t="s">
        <v>28</v>
      </c>
      <c r="C130" s="11" t="s">
        <v>303</v>
      </c>
      <c r="D130" s="11" t="s">
        <v>350</v>
      </c>
      <c r="E130" s="11"/>
      <c r="F130" s="11" t="s">
        <v>31</v>
      </c>
      <c r="G130" s="11" t="s">
        <v>382</v>
      </c>
      <c r="H130" s="11"/>
      <c r="I130" s="12">
        <v>0.3</v>
      </c>
      <c r="J130" s="11"/>
      <c r="K130" s="11" t="s">
        <v>383</v>
      </c>
      <c r="L130" s="11" t="s">
        <v>34</v>
      </c>
      <c r="M130" s="13" t="s">
        <v>306</v>
      </c>
    </row>
    <row r="131" spans="1:13" x14ac:dyDescent="0.3">
      <c r="A131" s="11" t="s">
        <v>384</v>
      </c>
      <c r="B131" s="11" t="s">
        <v>28</v>
      </c>
      <c r="C131" s="11" t="s">
        <v>303</v>
      </c>
      <c r="D131" s="11" t="s">
        <v>350</v>
      </c>
      <c r="E131" s="11"/>
      <c r="F131" s="11" t="s">
        <v>31</v>
      </c>
      <c r="G131" s="11" t="s">
        <v>385</v>
      </c>
      <c r="H131" s="11"/>
      <c r="I131" s="12">
        <v>0.26</v>
      </c>
      <c r="J131" s="11"/>
      <c r="K131" s="11" t="s">
        <v>386</v>
      </c>
      <c r="L131" s="11" t="s">
        <v>34</v>
      </c>
      <c r="M131" s="13" t="s">
        <v>306</v>
      </c>
    </row>
    <row r="132" spans="1:13" x14ac:dyDescent="0.3">
      <c r="A132" s="11" t="s">
        <v>387</v>
      </c>
      <c r="B132" s="11" t="s">
        <v>28</v>
      </c>
      <c r="C132" s="11" t="s">
        <v>303</v>
      </c>
      <c r="D132" s="11" t="s">
        <v>350</v>
      </c>
      <c r="E132" s="11"/>
      <c r="F132" s="11" t="s">
        <v>31</v>
      </c>
      <c r="G132" s="11" t="s">
        <v>231</v>
      </c>
      <c r="H132" s="11"/>
      <c r="I132" s="12">
        <v>0.13</v>
      </c>
      <c r="J132" s="11"/>
      <c r="K132" s="11" t="s">
        <v>388</v>
      </c>
      <c r="L132" s="11" t="s">
        <v>34</v>
      </c>
      <c r="M132" s="13" t="s">
        <v>306</v>
      </c>
    </row>
    <row r="133" spans="1:13" x14ac:dyDescent="0.3">
      <c r="A133" s="11" t="s">
        <v>389</v>
      </c>
      <c r="B133" s="11" t="s">
        <v>28</v>
      </c>
      <c r="C133" s="11" t="s">
        <v>303</v>
      </c>
      <c r="D133" s="11" t="s">
        <v>350</v>
      </c>
      <c r="E133" s="11"/>
      <c r="F133" s="11" t="s">
        <v>31</v>
      </c>
      <c r="G133" s="11" t="s">
        <v>57</v>
      </c>
      <c r="H133" s="11"/>
      <c r="I133" s="12">
        <v>1.1399999999999999</v>
      </c>
      <c r="J133" s="11"/>
      <c r="K133" s="11" t="s">
        <v>390</v>
      </c>
      <c r="L133" s="11" t="s">
        <v>34</v>
      </c>
      <c r="M133" s="13" t="s">
        <v>306</v>
      </c>
    </row>
    <row r="134" spans="1:13" x14ac:dyDescent="0.3">
      <c r="A134" s="11" t="s">
        <v>391</v>
      </c>
      <c r="B134" s="11" t="s">
        <v>28</v>
      </c>
      <c r="C134" s="11" t="s">
        <v>303</v>
      </c>
      <c r="D134" s="11" t="s">
        <v>392</v>
      </c>
      <c r="E134" s="11"/>
      <c r="F134" s="11" t="s">
        <v>37</v>
      </c>
      <c r="G134" s="11" t="s">
        <v>57</v>
      </c>
      <c r="H134" s="11"/>
      <c r="I134" s="12">
        <v>1.2</v>
      </c>
      <c r="J134" s="11"/>
      <c r="K134" s="11" t="s">
        <v>393</v>
      </c>
      <c r="L134" s="11" t="s">
        <v>34</v>
      </c>
      <c r="M134" s="13" t="s">
        <v>306</v>
      </c>
    </row>
    <row r="135" spans="1:13" x14ac:dyDescent="0.3">
      <c r="A135" s="11" t="s">
        <v>394</v>
      </c>
      <c r="B135" s="11" t="s">
        <v>28</v>
      </c>
      <c r="C135" s="11" t="s">
        <v>303</v>
      </c>
      <c r="D135" s="11" t="s">
        <v>392</v>
      </c>
      <c r="E135" s="11"/>
      <c r="F135" s="11" t="s">
        <v>37</v>
      </c>
      <c r="G135" s="11" t="s">
        <v>395</v>
      </c>
      <c r="H135" s="11"/>
      <c r="I135" s="12">
        <v>0.45</v>
      </c>
      <c r="J135" s="11"/>
      <c r="K135" s="11" t="s">
        <v>396</v>
      </c>
      <c r="L135" s="11" t="s">
        <v>34</v>
      </c>
      <c r="M135" s="13" t="s">
        <v>306</v>
      </c>
    </row>
    <row r="136" spans="1:13" x14ac:dyDescent="0.3">
      <c r="A136" s="11" t="s">
        <v>397</v>
      </c>
      <c r="B136" s="11" t="s">
        <v>28</v>
      </c>
      <c r="C136" s="11" t="s">
        <v>303</v>
      </c>
      <c r="D136" s="11" t="s">
        <v>392</v>
      </c>
      <c r="E136" s="11"/>
      <c r="F136" s="11" t="s">
        <v>37</v>
      </c>
      <c r="G136" s="11" t="s">
        <v>108</v>
      </c>
      <c r="H136" s="11" t="s">
        <v>109</v>
      </c>
      <c r="I136" s="12">
        <v>0.6</v>
      </c>
      <c r="J136" s="11"/>
      <c r="K136" s="11" t="s">
        <v>398</v>
      </c>
      <c r="L136" s="11" t="s">
        <v>34</v>
      </c>
      <c r="M136" s="13" t="s">
        <v>306</v>
      </c>
    </row>
    <row r="137" spans="1:13" x14ac:dyDescent="0.3">
      <c r="A137" s="11" t="s">
        <v>399</v>
      </c>
      <c r="B137" s="11" t="s">
        <v>28</v>
      </c>
      <c r="C137" s="11" t="s">
        <v>303</v>
      </c>
      <c r="D137" s="11" t="s">
        <v>392</v>
      </c>
      <c r="E137" s="11"/>
      <c r="F137" s="11" t="s">
        <v>37</v>
      </c>
      <c r="G137" s="11" t="s">
        <v>263</v>
      </c>
      <c r="H137" s="11" t="s">
        <v>109</v>
      </c>
      <c r="I137" s="12">
        <v>0.45</v>
      </c>
      <c r="J137" s="11"/>
      <c r="K137" s="11" t="s">
        <v>400</v>
      </c>
      <c r="L137" s="11" t="s">
        <v>34</v>
      </c>
      <c r="M137" s="13" t="s">
        <v>306</v>
      </c>
    </row>
    <row r="138" spans="1:13" x14ac:dyDescent="0.3">
      <c r="A138" s="11" t="s">
        <v>401</v>
      </c>
      <c r="B138" s="11" t="s">
        <v>28</v>
      </c>
      <c r="C138" s="11" t="s">
        <v>303</v>
      </c>
      <c r="D138" s="11" t="s">
        <v>392</v>
      </c>
      <c r="E138" s="11"/>
      <c r="F138" s="11" t="s">
        <v>37</v>
      </c>
      <c r="G138" s="11" t="s">
        <v>118</v>
      </c>
      <c r="H138" s="11" t="s">
        <v>109</v>
      </c>
      <c r="I138" s="12">
        <v>0.35</v>
      </c>
      <c r="J138" s="11"/>
      <c r="K138" s="11" t="s">
        <v>402</v>
      </c>
      <c r="L138" s="11" t="s">
        <v>34</v>
      </c>
      <c r="M138" s="13" t="s">
        <v>306</v>
      </c>
    </row>
    <row r="139" spans="1:13" x14ac:dyDescent="0.3">
      <c r="A139" s="11" t="s">
        <v>403</v>
      </c>
      <c r="B139" s="11" t="s">
        <v>28</v>
      </c>
      <c r="C139" s="11" t="s">
        <v>303</v>
      </c>
      <c r="D139" s="11" t="s">
        <v>392</v>
      </c>
      <c r="E139" s="11"/>
      <c r="F139" s="11" t="s">
        <v>37</v>
      </c>
      <c r="G139" s="11" t="s">
        <v>125</v>
      </c>
      <c r="H139" s="11" t="s">
        <v>109</v>
      </c>
      <c r="I139" s="12">
        <v>0.35</v>
      </c>
      <c r="J139" s="11"/>
      <c r="K139" s="11" t="s">
        <v>404</v>
      </c>
      <c r="L139" s="11" t="s">
        <v>34</v>
      </c>
      <c r="M139" s="13" t="s">
        <v>306</v>
      </c>
    </row>
    <row r="140" spans="1:13" x14ac:dyDescent="0.3">
      <c r="A140" s="11" t="s">
        <v>405</v>
      </c>
      <c r="B140" s="11" t="s">
        <v>28</v>
      </c>
      <c r="C140" s="11" t="s">
        <v>303</v>
      </c>
      <c r="D140" s="11" t="s">
        <v>406</v>
      </c>
      <c r="E140" s="11"/>
      <c r="F140" s="11" t="s">
        <v>37</v>
      </c>
      <c r="G140" s="11" t="s">
        <v>395</v>
      </c>
      <c r="H140" s="11"/>
      <c r="I140" s="12">
        <v>0.42</v>
      </c>
      <c r="J140" s="11"/>
      <c r="K140" s="11" t="s">
        <v>407</v>
      </c>
      <c r="L140" s="11" t="s">
        <v>34</v>
      </c>
      <c r="M140" s="13" t="s">
        <v>306</v>
      </c>
    </row>
    <row r="141" spans="1:13" x14ac:dyDescent="0.3">
      <c r="A141" s="11" t="s">
        <v>408</v>
      </c>
      <c r="B141" s="11" t="s">
        <v>28</v>
      </c>
      <c r="C141" s="11" t="s">
        <v>303</v>
      </c>
      <c r="D141" s="11" t="s">
        <v>409</v>
      </c>
      <c r="E141" s="11"/>
      <c r="F141" s="11" t="s">
        <v>37</v>
      </c>
      <c r="G141" s="11" t="s">
        <v>57</v>
      </c>
      <c r="H141" s="11"/>
      <c r="I141" s="12">
        <v>1.6</v>
      </c>
      <c r="J141" s="11"/>
      <c r="K141" s="11" t="s">
        <v>410</v>
      </c>
      <c r="L141" s="11" t="s">
        <v>34</v>
      </c>
      <c r="M141" s="13" t="s">
        <v>306</v>
      </c>
    </row>
    <row r="142" spans="1:13" x14ac:dyDescent="0.3">
      <c r="A142" s="11" t="s">
        <v>411</v>
      </c>
      <c r="B142" s="11" t="s">
        <v>28</v>
      </c>
      <c r="C142" s="11" t="s">
        <v>303</v>
      </c>
      <c r="D142" s="11" t="s">
        <v>409</v>
      </c>
      <c r="E142" s="11"/>
      <c r="F142" s="11" t="s">
        <v>37</v>
      </c>
      <c r="G142" s="11" t="s">
        <v>395</v>
      </c>
      <c r="H142" s="11"/>
      <c r="I142" s="12">
        <v>0.45</v>
      </c>
      <c r="J142" s="11"/>
      <c r="K142" s="11" t="s">
        <v>412</v>
      </c>
      <c r="L142" s="11" t="s">
        <v>34</v>
      </c>
      <c r="M142" s="13" t="s">
        <v>306</v>
      </c>
    </row>
    <row r="143" spans="1:13" x14ac:dyDescent="0.3">
      <c r="A143" s="11" t="s">
        <v>413</v>
      </c>
      <c r="B143" s="11" t="s">
        <v>28</v>
      </c>
      <c r="C143" s="11" t="s">
        <v>303</v>
      </c>
      <c r="D143" s="11" t="s">
        <v>409</v>
      </c>
      <c r="E143" s="11"/>
      <c r="F143" s="11" t="s">
        <v>37</v>
      </c>
      <c r="G143" s="11" t="s">
        <v>108</v>
      </c>
      <c r="H143" s="11" t="s">
        <v>109</v>
      </c>
      <c r="I143" s="12">
        <v>0.6</v>
      </c>
      <c r="J143" s="11"/>
      <c r="K143" s="11" t="s">
        <v>414</v>
      </c>
      <c r="L143" s="11" t="s">
        <v>34</v>
      </c>
      <c r="M143" s="13" t="s">
        <v>306</v>
      </c>
    </row>
    <row r="144" spans="1:13" x14ac:dyDescent="0.3">
      <c r="A144" s="11" t="s">
        <v>415</v>
      </c>
      <c r="B144" s="11" t="s">
        <v>28</v>
      </c>
      <c r="C144" s="11" t="s">
        <v>303</v>
      </c>
      <c r="D144" s="11" t="s">
        <v>409</v>
      </c>
      <c r="E144" s="11"/>
      <c r="F144" s="11" t="s">
        <v>37</v>
      </c>
      <c r="G144" s="11" t="s">
        <v>263</v>
      </c>
      <c r="H144" s="11" t="s">
        <v>109</v>
      </c>
      <c r="I144" s="12">
        <v>0.45</v>
      </c>
      <c r="J144" s="11"/>
      <c r="K144" s="11" t="s">
        <v>416</v>
      </c>
      <c r="L144" s="11" t="s">
        <v>34</v>
      </c>
      <c r="M144" s="13" t="s">
        <v>306</v>
      </c>
    </row>
    <row r="145" spans="1:13" x14ac:dyDescent="0.3">
      <c r="A145" s="11" t="s">
        <v>417</v>
      </c>
      <c r="B145" s="11" t="s">
        <v>28</v>
      </c>
      <c r="C145" s="11" t="s">
        <v>303</v>
      </c>
      <c r="D145" s="11" t="s">
        <v>409</v>
      </c>
      <c r="E145" s="11"/>
      <c r="F145" s="11" t="s">
        <v>37</v>
      </c>
      <c r="G145" s="11" t="s">
        <v>118</v>
      </c>
      <c r="H145" s="11" t="s">
        <v>109</v>
      </c>
      <c r="I145" s="12">
        <v>0.35</v>
      </c>
      <c r="J145" s="11"/>
      <c r="K145" s="11" t="s">
        <v>418</v>
      </c>
      <c r="L145" s="11" t="s">
        <v>34</v>
      </c>
      <c r="M145" s="13" t="s">
        <v>306</v>
      </c>
    </row>
    <row r="146" spans="1:13" x14ac:dyDescent="0.3">
      <c r="A146" s="11" t="s">
        <v>419</v>
      </c>
      <c r="B146" s="11" t="s">
        <v>28</v>
      </c>
      <c r="C146" s="11" t="s">
        <v>303</v>
      </c>
      <c r="D146" s="11" t="s">
        <v>409</v>
      </c>
      <c r="E146" s="11"/>
      <c r="F146" s="11" t="s">
        <v>37</v>
      </c>
      <c r="G146" s="11" t="s">
        <v>125</v>
      </c>
      <c r="H146" s="11" t="s">
        <v>109</v>
      </c>
      <c r="I146" s="12">
        <v>0.35</v>
      </c>
      <c r="J146" s="11"/>
      <c r="K146" s="11" t="s">
        <v>420</v>
      </c>
      <c r="L146" s="11" t="s">
        <v>34</v>
      </c>
      <c r="M146" s="13" t="s">
        <v>306</v>
      </c>
    </row>
    <row r="147" spans="1:13" x14ac:dyDescent="0.3">
      <c r="A147" s="11" t="s">
        <v>421</v>
      </c>
      <c r="B147" s="11" t="s">
        <v>28</v>
      </c>
      <c r="C147" s="11" t="s">
        <v>422</v>
      </c>
      <c r="D147" s="11" t="s">
        <v>423</v>
      </c>
      <c r="E147" s="11"/>
      <c r="F147" s="11" t="s">
        <v>31</v>
      </c>
      <c r="G147" s="11"/>
      <c r="H147" s="11"/>
      <c r="I147" s="12">
        <v>0.25</v>
      </c>
      <c r="J147" s="11"/>
      <c r="K147" s="11" t="s">
        <v>424</v>
      </c>
      <c r="L147" s="11" t="s">
        <v>34</v>
      </c>
      <c r="M147" s="13"/>
    </row>
    <row r="148" spans="1:13" x14ac:dyDescent="0.3">
      <c r="A148" s="11" t="s">
        <v>425</v>
      </c>
      <c r="B148" s="11" t="s">
        <v>28</v>
      </c>
      <c r="C148" s="11" t="s">
        <v>422</v>
      </c>
      <c r="D148" s="11" t="s">
        <v>426</v>
      </c>
      <c r="E148" s="11"/>
      <c r="F148" s="11" t="s">
        <v>31</v>
      </c>
      <c r="G148" s="11"/>
      <c r="H148" s="11"/>
      <c r="I148" s="12">
        <v>0.35</v>
      </c>
      <c r="J148" s="11"/>
      <c r="K148" s="11" t="s">
        <v>427</v>
      </c>
      <c r="L148" s="11" t="s">
        <v>34</v>
      </c>
      <c r="M148" s="13"/>
    </row>
    <row r="149" spans="1:13" x14ac:dyDescent="0.3">
      <c r="A149" s="11" t="s">
        <v>428</v>
      </c>
      <c r="B149" s="11" t="s">
        <v>28</v>
      </c>
      <c r="C149" s="11" t="s">
        <v>422</v>
      </c>
      <c r="D149" s="11" t="s">
        <v>429</v>
      </c>
      <c r="E149" s="11"/>
      <c r="F149" s="11" t="s">
        <v>31</v>
      </c>
      <c r="G149" s="11"/>
      <c r="H149" s="11"/>
      <c r="I149" s="12">
        <v>0.3</v>
      </c>
      <c r="J149" s="11"/>
      <c r="K149" s="11" t="s">
        <v>430</v>
      </c>
      <c r="L149" s="11" t="s">
        <v>34</v>
      </c>
      <c r="M149" s="13"/>
    </row>
    <row r="150" spans="1:13" x14ac:dyDescent="0.3">
      <c r="A150" s="11" t="s">
        <v>431</v>
      </c>
      <c r="B150" s="11" t="s">
        <v>28</v>
      </c>
      <c r="C150" s="11" t="s">
        <v>422</v>
      </c>
      <c r="D150" s="11" t="s">
        <v>432</v>
      </c>
      <c r="E150" s="11"/>
      <c r="F150" s="11" t="s">
        <v>31</v>
      </c>
      <c r="G150" s="11"/>
      <c r="H150" s="11"/>
      <c r="I150" s="12">
        <v>0.48</v>
      </c>
      <c r="J150" s="11"/>
      <c r="K150" s="11" t="s">
        <v>433</v>
      </c>
      <c r="L150" s="11" t="s">
        <v>34</v>
      </c>
      <c r="M150" s="13"/>
    </row>
    <row r="151" spans="1:13" x14ac:dyDescent="0.3">
      <c r="A151" s="11" t="s">
        <v>434</v>
      </c>
      <c r="B151" s="11" t="s">
        <v>28</v>
      </c>
      <c r="C151" s="11" t="s">
        <v>422</v>
      </c>
      <c r="D151" s="11" t="s">
        <v>435</v>
      </c>
      <c r="E151" s="11"/>
      <c r="F151" s="11" t="s">
        <v>31</v>
      </c>
      <c r="G151" s="11"/>
      <c r="H151" s="11"/>
      <c r="I151" s="12">
        <v>0.35</v>
      </c>
      <c r="J151" s="11"/>
      <c r="K151" s="11" t="s">
        <v>436</v>
      </c>
      <c r="L151" s="11" t="s">
        <v>34</v>
      </c>
      <c r="M151" s="13"/>
    </row>
    <row r="152" spans="1:13" x14ac:dyDescent="0.3">
      <c r="A152" s="11" t="s">
        <v>437</v>
      </c>
      <c r="B152" s="11" t="s">
        <v>28</v>
      </c>
      <c r="C152" s="11" t="s">
        <v>422</v>
      </c>
      <c r="D152" s="11" t="s">
        <v>438</v>
      </c>
      <c r="E152" s="11"/>
      <c r="F152" s="11" t="s">
        <v>31</v>
      </c>
      <c r="G152" s="11"/>
      <c r="H152" s="11"/>
      <c r="I152" s="12">
        <v>0.38</v>
      </c>
      <c r="J152" s="11"/>
      <c r="K152" s="11" t="s">
        <v>439</v>
      </c>
      <c r="L152" s="11" t="s">
        <v>34</v>
      </c>
      <c r="M152" s="13"/>
    </row>
    <row r="153" spans="1:13" x14ac:dyDescent="0.3">
      <c r="A153" s="11" t="s">
        <v>440</v>
      </c>
      <c r="B153" s="11" t="s">
        <v>28</v>
      </c>
      <c r="C153" s="11" t="s">
        <v>422</v>
      </c>
      <c r="D153" s="11" t="s">
        <v>441</v>
      </c>
      <c r="E153" s="11"/>
      <c r="F153" s="11" t="s">
        <v>31</v>
      </c>
      <c r="G153" s="11"/>
      <c r="H153" s="11"/>
      <c r="I153" s="12">
        <v>0.27</v>
      </c>
      <c r="J153" s="11"/>
      <c r="K153" s="11" t="s">
        <v>442</v>
      </c>
      <c r="L153" s="11" t="s">
        <v>34</v>
      </c>
      <c r="M153" s="13"/>
    </row>
    <row r="154" spans="1:13" x14ac:dyDescent="0.3">
      <c r="A154" s="11" t="s">
        <v>443</v>
      </c>
      <c r="B154" s="11" t="s">
        <v>444</v>
      </c>
      <c r="C154" s="11" t="s">
        <v>445</v>
      </c>
      <c r="D154" s="11" t="s">
        <v>446</v>
      </c>
      <c r="E154" s="11"/>
      <c r="F154" s="11" t="s">
        <v>31</v>
      </c>
      <c r="G154" s="11"/>
      <c r="H154" s="11"/>
      <c r="I154" s="12">
        <v>0.48</v>
      </c>
      <c r="J154" s="11"/>
      <c r="K154" s="11" t="s">
        <v>447</v>
      </c>
      <c r="L154" s="11" t="s">
        <v>34</v>
      </c>
      <c r="M154" s="13"/>
    </row>
    <row r="155" spans="1:13" x14ac:dyDescent="0.3">
      <c r="A155" s="11" t="s">
        <v>448</v>
      </c>
      <c r="B155" s="11" t="s">
        <v>444</v>
      </c>
      <c r="C155" s="11" t="s">
        <v>445</v>
      </c>
      <c r="D155" s="11" t="s">
        <v>449</v>
      </c>
      <c r="E155" s="11"/>
      <c r="F155" s="11" t="s">
        <v>31</v>
      </c>
      <c r="G155" s="11"/>
      <c r="H155" s="11"/>
      <c r="I155" s="12">
        <v>0.5</v>
      </c>
      <c r="J155" s="11"/>
      <c r="K155" s="11" t="s">
        <v>450</v>
      </c>
      <c r="L155" s="11" t="s">
        <v>34</v>
      </c>
      <c r="M155" s="13"/>
    </row>
    <row r="156" spans="1:13" x14ac:dyDescent="0.3">
      <c r="A156" s="11" t="s">
        <v>451</v>
      </c>
      <c r="B156" s="11" t="s">
        <v>444</v>
      </c>
      <c r="C156" s="11" t="s">
        <v>445</v>
      </c>
      <c r="D156" s="11" t="s">
        <v>452</v>
      </c>
      <c r="E156" s="11"/>
      <c r="F156" s="11" t="s">
        <v>31</v>
      </c>
      <c r="G156" s="11"/>
      <c r="H156" s="11"/>
      <c r="I156" s="12">
        <v>0.6</v>
      </c>
      <c r="J156" s="11"/>
      <c r="K156" s="11" t="s">
        <v>453</v>
      </c>
      <c r="L156" s="11" t="s">
        <v>34</v>
      </c>
      <c r="M156" s="13"/>
    </row>
    <row r="157" spans="1:13" x14ac:dyDescent="0.3">
      <c r="A157" s="11" t="s">
        <v>454</v>
      </c>
      <c r="B157" s="11" t="s">
        <v>444</v>
      </c>
      <c r="C157" s="11" t="s">
        <v>445</v>
      </c>
      <c r="D157" s="11" t="s">
        <v>455</v>
      </c>
      <c r="E157" s="11"/>
      <c r="F157" s="11" t="s">
        <v>31</v>
      </c>
      <c r="G157" s="11"/>
      <c r="H157" s="11"/>
      <c r="I157" s="12">
        <v>0.9</v>
      </c>
      <c r="J157" s="11"/>
      <c r="K157" s="11" t="s">
        <v>456</v>
      </c>
      <c r="L157" s="11" t="s">
        <v>34</v>
      </c>
      <c r="M157" s="13"/>
    </row>
    <row r="158" spans="1:13" x14ac:dyDescent="0.3">
      <c r="A158" s="11" t="s">
        <v>457</v>
      </c>
      <c r="B158" s="11" t="s">
        <v>444</v>
      </c>
      <c r="C158" s="11" t="s">
        <v>445</v>
      </c>
      <c r="D158" s="11" t="s">
        <v>458</v>
      </c>
      <c r="E158" s="11"/>
      <c r="F158" s="11" t="s">
        <v>31</v>
      </c>
      <c r="G158" s="11"/>
      <c r="H158" s="11"/>
      <c r="I158" s="12">
        <v>1.4</v>
      </c>
      <c r="J158" s="11"/>
      <c r="K158" s="11" t="s">
        <v>459</v>
      </c>
      <c r="L158" s="11" t="s">
        <v>34</v>
      </c>
      <c r="M158" s="13"/>
    </row>
    <row r="159" spans="1:13" x14ac:dyDescent="0.3">
      <c r="A159" s="11" t="s">
        <v>460</v>
      </c>
      <c r="B159" s="11" t="s">
        <v>444</v>
      </c>
      <c r="C159" s="11" t="s">
        <v>445</v>
      </c>
      <c r="D159" s="11" t="s">
        <v>461</v>
      </c>
      <c r="E159" s="11"/>
      <c r="F159" s="11" t="s">
        <v>31</v>
      </c>
      <c r="G159" s="11"/>
      <c r="H159" s="11"/>
      <c r="I159" s="12">
        <v>1.5</v>
      </c>
      <c r="J159" s="11"/>
      <c r="K159" s="11" t="s">
        <v>462</v>
      </c>
      <c r="L159" s="11" t="s">
        <v>34</v>
      </c>
      <c r="M159" s="13"/>
    </row>
    <row r="160" spans="1:13" x14ac:dyDescent="0.3">
      <c r="A160" s="11" t="s">
        <v>463</v>
      </c>
      <c r="B160" s="11" t="s">
        <v>444</v>
      </c>
      <c r="C160" s="11" t="s">
        <v>445</v>
      </c>
      <c r="D160" s="11" t="s">
        <v>464</v>
      </c>
      <c r="E160" s="11"/>
      <c r="F160" s="11" t="s">
        <v>31</v>
      </c>
      <c r="G160" s="11"/>
      <c r="H160" s="11"/>
      <c r="I160" s="12">
        <v>1.7</v>
      </c>
      <c r="J160" s="11"/>
      <c r="K160" s="11" t="s">
        <v>465</v>
      </c>
      <c r="L160" s="11" t="s">
        <v>34</v>
      </c>
      <c r="M160" s="13"/>
    </row>
    <row r="161" spans="1:13" x14ac:dyDescent="0.3">
      <c r="A161" s="11" t="s">
        <v>466</v>
      </c>
      <c r="B161" s="11" t="s">
        <v>444</v>
      </c>
      <c r="C161" s="11" t="s">
        <v>445</v>
      </c>
      <c r="D161" s="11" t="s">
        <v>467</v>
      </c>
      <c r="E161" s="11"/>
      <c r="F161" s="11" t="s">
        <v>31</v>
      </c>
      <c r="G161" s="11"/>
      <c r="H161" s="11"/>
      <c r="I161" s="12">
        <v>3.7</v>
      </c>
      <c r="J161" s="11"/>
      <c r="K161" s="11" t="s">
        <v>468</v>
      </c>
      <c r="L161" s="11" t="s">
        <v>34</v>
      </c>
      <c r="M161" s="13"/>
    </row>
    <row r="162" spans="1:13" x14ac:dyDescent="0.3">
      <c r="A162" s="11" t="s">
        <v>469</v>
      </c>
      <c r="B162" s="11" t="s">
        <v>444</v>
      </c>
      <c r="C162" s="11" t="s">
        <v>445</v>
      </c>
      <c r="D162" s="11" t="s">
        <v>470</v>
      </c>
      <c r="E162" s="11"/>
      <c r="F162" s="11" t="s">
        <v>31</v>
      </c>
      <c r="G162" s="11"/>
      <c r="H162" s="11"/>
      <c r="I162" s="12">
        <v>4.0999999999999996</v>
      </c>
      <c r="J162" s="11"/>
      <c r="K162" s="11" t="s">
        <v>471</v>
      </c>
      <c r="L162" s="11" t="s">
        <v>34</v>
      </c>
      <c r="M162" s="13"/>
    </row>
    <row r="163" spans="1:13" x14ac:dyDescent="0.3">
      <c r="A163" s="11" t="s">
        <v>472</v>
      </c>
      <c r="B163" s="11" t="s">
        <v>473</v>
      </c>
      <c r="C163" s="11" t="s">
        <v>474</v>
      </c>
      <c r="D163" s="11" t="s">
        <v>475</v>
      </c>
      <c r="E163" s="11"/>
      <c r="F163" s="11" t="s">
        <v>37</v>
      </c>
      <c r="G163" s="11" t="s">
        <v>108</v>
      </c>
      <c r="H163" s="11" t="s">
        <v>109</v>
      </c>
      <c r="I163" s="12">
        <v>0.45</v>
      </c>
      <c r="J163" s="11"/>
      <c r="K163" s="11" t="s">
        <v>476</v>
      </c>
      <c r="L163" s="11" t="s">
        <v>34</v>
      </c>
      <c r="M163" s="13"/>
    </row>
    <row r="164" spans="1:13" x14ac:dyDescent="0.3">
      <c r="A164" s="11" t="s">
        <v>477</v>
      </c>
      <c r="B164" s="11" t="s">
        <v>473</v>
      </c>
      <c r="C164" s="11" t="s">
        <v>474</v>
      </c>
      <c r="D164" s="11" t="s">
        <v>478</v>
      </c>
      <c r="E164" s="11"/>
      <c r="F164" s="11" t="s">
        <v>37</v>
      </c>
      <c r="G164" s="11" t="s">
        <v>108</v>
      </c>
      <c r="H164" s="11" t="s">
        <v>109</v>
      </c>
      <c r="I164" s="12">
        <v>0.45</v>
      </c>
      <c r="J164" s="11"/>
      <c r="K164" s="11" t="s">
        <v>479</v>
      </c>
      <c r="L164" s="11" t="s">
        <v>34</v>
      </c>
      <c r="M164" s="13"/>
    </row>
    <row r="165" spans="1:13" x14ac:dyDescent="0.3">
      <c r="A165" s="11" t="s">
        <v>480</v>
      </c>
      <c r="B165" s="11" t="s">
        <v>473</v>
      </c>
      <c r="C165" s="11" t="s">
        <v>474</v>
      </c>
      <c r="D165" s="11" t="s">
        <v>475</v>
      </c>
      <c r="E165" s="11"/>
      <c r="F165" s="11" t="s">
        <v>37</v>
      </c>
      <c r="G165" s="11" t="s">
        <v>112</v>
      </c>
      <c r="H165" s="11" t="s">
        <v>109</v>
      </c>
      <c r="I165" s="12">
        <v>0.45</v>
      </c>
      <c r="J165" s="11"/>
      <c r="K165" s="11" t="s">
        <v>481</v>
      </c>
      <c r="L165" s="11" t="s">
        <v>34</v>
      </c>
      <c r="M165" s="13"/>
    </row>
    <row r="166" spans="1:13" x14ac:dyDescent="0.3">
      <c r="A166" s="11" t="s">
        <v>482</v>
      </c>
      <c r="B166" s="11" t="s">
        <v>473</v>
      </c>
      <c r="C166" s="11" t="s">
        <v>474</v>
      </c>
      <c r="D166" s="11" t="s">
        <v>478</v>
      </c>
      <c r="E166" s="11"/>
      <c r="F166" s="11" t="s">
        <v>37</v>
      </c>
      <c r="G166" s="11" t="s">
        <v>112</v>
      </c>
      <c r="H166" s="11" t="s">
        <v>109</v>
      </c>
      <c r="I166" s="12">
        <v>0.45</v>
      </c>
      <c r="J166" s="11"/>
      <c r="K166" s="11" t="s">
        <v>483</v>
      </c>
      <c r="L166" s="11" t="s">
        <v>34</v>
      </c>
      <c r="M166" s="13"/>
    </row>
    <row r="167" spans="1:13" x14ac:dyDescent="0.3">
      <c r="A167" s="11" t="s">
        <v>484</v>
      </c>
      <c r="B167" s="11" t="s">
        <v>473</v>
      </c>
      <c r="C167" s="11" t="s">
        <v>474</v>
      </c>
      <c r="D167" s="11" t="s">
        <v>485</v>
      </c>
      <c r="E167" s="11"/>
      <c r="F167" s="11" t="s">
        <v>37</v>
      </c>
      <c r="G167" s="11" t="s">
        <v>115</v>
      </c>
      <c r="H167" s="11" t="s">
        <v>109</v>
      </c>
      <c r="I167" s="12">
        <v>0.45</v>
      </c>
      <c r="J167" s="11"/>
      <c r="K167" s="11" t="s">
        <v>486</v>
      </c>
      <c r="L167" s="11" t="s">
        <v>34</v>
      </c>
      <c r="M167" s="13"/>
    </row>
    <row r="168" spans="1:13" x14ac:dyDescent="0.3">
      <c r="A168" s="11" t="s">
        <v>487</v>
      </c>
      <c r="B168" s="11" t="s">
        <v>473</v>
      </c>
      <c r="C168" s="11" t="s">
        <v>474</v>
      </c>
      <c r="D168" s="11" t="s">
        <v>488</v>
      </c>
      <c r="E168" s="11"/>
      <c r="F168" s="11" t="s">
        <v>37</v>
      </c>
      <c r="G168" s="11" t="s">
        <v>115</v>
      </c>
      <c r="H168" s="11" t="s">
        <v>109</v>
      </c>
      <c r="I168" s="12">
        <v>0.35</v>
      </c>
      <c r="J168" s="11"/>
      <c r="K168" s="11" t="s">
        <v>489</v>
      </c>
      <c r="L168" s="11" t="s">
        <v>34</v>
      </c>
      <c r="M168" s="13"/>
    </row>
    <row r="169" spans="1:13" x14ac:dyDescent="0.3">
      <c r="A169" s="11" t="s">
        <v>490</v>
      </c>
      <c r="B169" s="11" t="s">
        <v>473</v>
      </c>
      <c r="C169" s="11" t="s">
        <v>474</v>
      </c>
      <c r="D169" s="11" t="s">
        <v>491</v>
      </c>
      <c r="E169" s="11"/>
      <c r="F169" s="11" t="s">
        <v>37</v>
      </c>
      <c r="G169" s="11" t="s">
        <v>115</v>
      </c>
      <c r="H169" s="11" t="s">
        <v>109</v>
      </c>
      <c r="I169" s="12">
        <v>0.45</v>
      </c>
      <c r="J169" s="11"/>
      <c r="K169" s="11" t="s">
        <v>492</v>
      </c>
      <c r="L169" s="11" t="s">
        <v>34</v>
      </c>
      <c r="M169" s="13"/>
    </row>
    <row r="170" spans="1:13" x14ac:dyDescent="0.3">
      <c r="A170" s="11" t="s">
        <v>493</v>
      </c>
      <c r="B170" s="11" t="s">
        <v>473</v>
      </c>
      <c r="C170" s="11" t="s">
        <v>474</v>
      </c>
      <c r="D170" s="11" t="s">
        <v>494</v>
      </c>
      <c r="E170" s="11"/>
      <c r="F170" s="11" t="s">
        <v>37</v>
      </c>
      <c r="G170" s="11" t="s">
        <v>115</v>
      </c>
      <c r="H170" s="11" t="s">
        <v>109</v>
      </c>
      <c r="I170" s="12">
        <v>0.35</v>
      </c>
      <c r="J170" s="11"/>
      <c r="K170" s="11" t="s">
        <v>495</v>
      </c>
      <c r="L170" s="11" t="s">
        <v>34</v>
      </c>
      <c r="M170" s="13"/>
    </row>
    <row r="171" spans="1:13" x14ac:dyDescent="0.3">
      <c r="A171" s="11" t="s">
        <v>496</v>
      </c>
      <c r="B171" s="11" t="s">
        <v>473</v>
      </c>
      <c r="C171" s="11" t="s">
        <v>474</v>
      </c>
      <c r="D171" s="11" t="s">
        <v>475</v>
      </c>
      <c r="E171" s="11"/>
      <c r="F171" s="11" t="s">
        <v>37</v>
      </c>
      <c r="G171" s="11" t="s">
        <v>118</v>
      </c>
      <c r="H171" s="11" t="s">
        <v>109</v>
      </c>
      <c r="I171" s="12">
        <v>0.25</v>
      </c>
      <c r="J171" s="11"/>
      <c r="K171" s="11" t="s">
        <v>497</v>
      </c>
      <c r="L171" s="11" t="s">
        <v>34</v>
      </c>
      <c r="M171" s="13"/>
    </row>
    <row r="172" spans="1:13" x14ac:dyDescent="0.3">
      <c r="A172" s="11" t="s">
        <v>498</v>
      </c>
      <c r="B172" s="11" t="s">
        <v>473</v>
      </c>
      <c r="C172" s="11" t="s">
        <v>474</v>
      </c>
      <c r="D172" s="11" t="s">
        <v>499</v>
      </c>
      <c r="E172" s="11"/>
      <c r="F172" s="11" t="s">
        <v>37</v>
      </c>
      <c r="G172" s="11" t="s">
        <v>118</v>
      </c>
      <c r="H172" s="11" t="s">
        <v>109</v>
      </c>
      <c r="I172" s="12">
        <v>0.25</v>
      </c>
      <c r="J172" s="11"/>
      <c r="K172" s="11" t="s">
        <v>500</v>
      </c>
      <c r="L172" s="11" t="s">
        <v>34</v>
      </c>
      <c r="M172" s="13"/>
    </row>
    <row r="173" spans="1:13" x14ac:dyDescent="0.3">
      <c r="A173" s="11" t="s">
        <v>501</v>
      </c>
      <c r="B173" s="11" t="s">
        <v>473</v>
      </c>
      <c r="C173" s="11" t="s">
        <v>474</v>
      </c>
      <c r="D173" s="11" t="s">
        <v>475</v>
      </c>
      <c r="E173" s="11"/>
      <c r="F173" s="11" t="s">
        <v>37</v>
      </c>
      <c r="G173" s="11" t="s">
        <v>121</v>
      </c>
      <c r="H173" s="11" t="s">
        <v>109</v>
      </c>
      <c r="I173" s="12">
        <v>0.25</v>
      </c>
      <c r="J173" s="11"/>
      <c r="K173" s="11" t="s">
        <v>502</v>
      </c>
      <c r="L173" s="11" t="s">
        <v>34</v>
      </c>
      <c r="M173" s="13"/>
    </row>
    <row r="174" spans="1:13" x14ac:dyDescent="0.3">
      <c r="A174" s="11" t="s">
        <v>503</v>
      </c>
      <c r="B174" s="11" t="s">
        <v>473</v>
      </c>
      <c r="C174" s="11" t="s">
        <v>474</v>
      </c>
      <c r="D174" s="11" t="s">
        <v>478</v>
      </c>
      <c r="E174" s="11"/>
      <c r="F174" s="11" t="s">
        <v>37</v>
      </c>
      <c r="G174" s="11" t="s">
        <v>121</v>
      </c>
      <c r="H174" s="11" t="s">
        <v>109</v>
      </c>
      <c r="I174" s="12">
        <v>0.25</v>
      </c>
      <c r="J174" s="11"/>
      <c r="K174" s="11" t="s">
        <v>504</v>
      </c>
      <c r="L174" s="11" t="s">
        <v>34</v>
      </c>
      <c r="M174" s="13"/>
    </row>
    <row r="175" spans="1:13" x14ac:dyDescent="0.3">
      <c r="A175" s="11" t="s">
        <v>505</v>
      </c>
      <c r="B175" s="11" t="s">
        <v>473</v>
      </c>
      <c r="C175" s="11" t="s">
        <v>474</v>
      </c>
      <c r="D175" s="11" t="s">
        <v>506</v>
      </c>
      <c r="E175" s="11"/>
      <c r="F175" s="11" t="s">
        <v>37</v>
      </c>
      <c r="G175" s="11" t="s">
        <v>271</v>
      </c>
      <c r="H175" s="11"/>
      <c r="I175" s="12">
        <v>1.4</v>
      </c>
      <c r="J175" s="11"/>
      <c r="K175" s="11" t="s">
        <v>507</v>
      </c>
      <c r="L175" s="11" t="s">
        <v>34</v>
      </c>
      <c r="M175" s="13"/>
    </row>
    <row r="176" spans="1:13" x14ac:dyDescent="0.3">
      <c r="A176" s="11" t="s">
        <v>508</v>
      </c>
      <c r="B176" s="11" t="s">
        <v>473</v>
      </c>
      <c r="C176" s="11" t="s">
        <v>474</v>
      </c>
      <c r="D176" s="11" t="s">
        <v>475</v>
      </c>
      <c r="E176" s="11"/>
      <c r="F176" s="11" t="s">
        <v>37</v>
      </c>
      <c r="G176" s="11" t="s">
        <v>271</v>
      </c>
      <c r="H176" s="11"/>
      <c r="I176" s="12">
        <v>2.8</v>
      </c>
      <c r="J176" s="11"/>
      <c r="K176" s="11" t="s">
        <v>509</v>
      </c>
      <c r="L176" s="11" t="s">
        <v>34</v>
      </c>
      <c r="M176" s="13"/>
    </row>
    <row r="177" spans="1:13" x14ac:dyDescent="0.3">
      <c r="A177" s="11" t="s">
        <v>510</v>
      </c>
      <c r="B177" s="11" t="s">
        <v>473</v>
      </c>
      <c r="C177" s="11" t="s">
        <v>474</v>
      </c>
      <c r="D177" s="11" t="s">
        <v>511</v>
      </c>
      <c r="E177" s="11"/>
      <c r="F177" s="11" t="s">
        <v>37</v>
      </c>
      <c r="G177" s="11" t="s">
        <v>271</v>
      </c>
      <c r="H177" s="11"/>
      <c r="I177" s="12">
        <v>2</v>
      </c>
      <c r="J177" s="11"/>
      <c r="K177" s="11" t="s">
        <v>512</v>
      </c>
      <c r="L177" s="11" t="s">
        <v>34</v>
      </c>
      <c r="M177" s="13"/>
    </row>
    <row r="178" spans="1:13" x14ac:dyDescent="0.3">
      <c r="A178" s="11" t="s">
        <v>513</v>
      </c>
      <c r="B178" s="11" t="s">
        <v>473</v>
      </c>
      <c r="C178" s="11" t="s">
        <v>474</v>
      </c>
      <c r="D178" s="11" t="s">
        <v>514</v>
      </c>
      <c r="E178" s="11"/>
      <c r="F178" s="11" t="s">
        <v>37</v>
      </c>
      <c r="G178" s="11"/>
      <c r="H178" s="11"/>
      <c r="I178" s="12">
        <v>0.42</v>
      </c>
      <c r="J178" s="11"/>
      <c r="K178" s="11" t="s">
        <v>515</v>
      </c>
      <c r="L178" s="11" t="s">
        <v>34</v>
      </c>
      <c r="M178" s="13"/>
    </row>
    <row r="179" spans="1:13" x14ac:dyDescent="0.3">
      <c r="A179" s="11" t="s">
        <v>516</v>
      </c>
      <c r="B179" s="11" t="s">
        <v>473</v>
      </c>
      <c r="C179" s="11" t="s">
        <v>474</v>
      </c>
      <c r="D179" s="11" t="s">
        <v>474</v>
      </c>
      <c r="E179" s="11"/>
      <c r="F179" s="11" t="s">
        <v>124</v>
      </c>
      <c r="G179" s="11" t="s">
        <v>125</v>
      </c>
      <c r="H179" s="11" t="s">
        <v>126</v>
      </c>
      <c r="I179" s="12">
        <v>0.25</v>
      </c>
      <c r="J179" s="11"/>
      <c r="K179" s="11" t="s">
        <v>517</v>
      </c>
      <c r="L179" s="11" t="s">
        <v>34</v>
      </c>
      <c r="M179" s="13"/>
    </row>
    <row r="180" spans="1:13" x14ac:dyDescent="0.3">
      <c r="A180" s="11" t="s">
        <v>518</v>
      </c>
      <c r="B180" s="11" t="s">
        <v>473</v>
      </c>
      <c r="C180" s="11" t="s">
        <v>474</v>
      </c>
      <c r="D180" s="11" t="s">
        <v>474</v>
      </c>
      <c r="E180" s="11"/>
      <c r="F180" s="11" t="s">
        <v>129</v>
      </c>
      <c r="G180" s="11" t="s">
        <v>130</v>
      </c>
      <c r="H180" s="11"/>
      <c r="I180" s="12">
        <v>0.6</v>
      </c>
      <c r="J180" s="11"/>
      <c r="K180" s="11" t="s">
        <v>519</v>
      </c>
      <c r="L180" s="11" t="s">
        <v>34</v>
      </c>
      <c r="M180" s="13"/>
    </row>
    <row r="181" spans="1:13" x14ac:dyDescent="0.3">
      <c r="A181" s="11" t="s">
        <v>520</v>
      </c>
      <c r="B181" s="11" t="s">
        <v>473</v>
      </c>
      <c r="C181" s="11" t="s">
        <v>474</v>
      </c>
      <c r="D181" s="11" t="s">
        <v>474</v>
      </c>
      <c r="E181" s="11"/>
      <c r="F181" s="11" t="s">
        <v>129</v>
      </c>
      <c r="G181" s="11" t="s">
        <v>133</v>
      </c>
      <c r="H181" s="11"/>
      <c r="I181" s="12">
        <v>0.45</v>
      </c>
      <c r="J181" s="11"/>
      <c r="K181" s="11" t="s">
        <v>521</v>
      </c>
      <c r="L181" s="11" t="s">
        <v>34</v>
      </c>
      <c r="M181" s="13"/>
    </row>
    <row r="182" spans="1:13" x14ac:dyDescent="0.3">
      <c r="A182" s="11" t="s">
        <v>522</v>
      </c>
      <c r="B182" s="11" t="s">
        <v>473</v>
      </c>
      <c r="C182" s="11" t="s">
        <v>474</v>
      </c>
      <c r="D182" s="11" t="s">
        <v>474</v>
      </c>
      <c r="E182" s="11"/>
      <c r="F182" s="11" t="s">
        <v>129</v>
      </c>
      <c r="G182" s="11" t="s">
        <v>136</v>
      </c>
      <c r="H182" s="11"/>
      <c r="I182" s="12">
        <v>0.45</v>
      </c>
      <c r="J182" s="11"/>
      <c r="K182" s="11" t="s">
        <v>523</v>
      </c>
      <c r="L182" s="11" t="s">
        <v>34</v>
      </c>
      <c r="M182" s="13"/>
    </row>
    <row r="183" spans="1:13" x14ac:dyDescent="0.3">
      <c r="A183" s="11" t="s">
        <v>524</v>
      </c>
      <c r="B183" s="11" t="s">
        <v>473</v>
      </c>
      <c r="C183" s="11" t="s">
        <v>474</v>
      </c>
      <c r="D183" s="11" t="s">
        <v>474</v>
      </c>
      <c r="E183" s="11"/>
      <c r="F183" s="11" t="s">
        <v>129</v>
      </c>
      <c r="G183" s="11" t="s">
        <v>139</v>
      </c>
      <c r="H183" s="11"/>
      <c r="I183" s="12">
        <v>0.45</v>
      </c>
      <c r="J183" s="11"/>
      <c r="K183" s="11" t="s">
        <v>525</v>
      </c>
      <c r="L183" s="11" t="s">
        <v>34</v>
      </c>
      <c r="M183" s="13"/>
    </row>
    <row r="184" spans="1:13" x14ac:dyDescent="0.3">
      <c r="A184" s="11" t="s">
        <v>526</v>
      </c>
      <c r="B184" s="11" t="s">
        <v>473</v>
      </c>
      <c r="C184" s="11" t="s">
        <v>474</v>
      </c>
      <c r="D184" s="11" t="s">
        <v>474</v>
      </c>
      <c r="E184" s="11"/>
      <c r="F184" s="11" t="s">
        <v>129</v>
      </c>
      <c r="G184" s="11" t="s">
        <v>175</v>
      </c>
      <c r="H184" s="11"/>
      <c r="I184" s="12">
        <v>0.45</v>
      </c>
      <c r="J184" s="11"/>
      <c r="K184" s="11" t="s">
        <v>527</v>
      </c>
      <c r="L184" s="11" t="s">
        <v>34</v>
      </c>
      <c r="M184" s="13"/>
    </row>
    <row r="185" spans="1:13" x14ac:dyDescent="0.3">
      <c r="A185" s="11" t="s">
        <v>528</v>
      </c>
      <c r="B185" s="11" t="s">
        <v>473</v>
      </c>
      <c r="C185" s="11" t="s">
        <v>474</v>
      </c>
      <c r="D185" s="11" t="s">
        <v>474</v>
      </c>
      <c r="E185" s="11"/>
      <c r="F185" s="11" t="s">
        <v>129</v>
      </c>
      <c r="G185" s="11" t="s">
        <v>145</v>
      </c>
      <c r="H185" s="11" t="s">
        <v>146</v>
      </c>
      <c r="I185" s="12">
        <v>0.16</v>
      </c>
      <c r="J185" s="11"/>
      <c r="K185" s="11" t="s">
        <v>529</v>
      </c>
      <c r="L185" s="11" t="s">
        <v>34</v>
      </c>
      <c r="M185" s="13"/>
    </row>
    <row r="186" spans="1:13" x14ac:dyDescent="0.3">
      <c r="A186" s="11" t="s">
        <v>530</v>
      </c>
      <c r="B186" s="11" t="s">
        <v>473</v>
      </c>
      <c r="C186" s="11" t="s">
        <v>474</v>
      </c>
      <c r="D186" s="11" t="s">
        <v>474</v>
      </c>
      <c r="E186" s="11"/>
      <c r="F186" s="11" t="s">
        <v>129</v>
      </c>
      <c r="G186" s="11" t="s">
        <v>164</v>
      </c>
      <c r="H186" s="11"/>
      <c r="I186" s="12">
        <v>1.1399999999999999</v>
      </c>
      <c r="J186" s="11"/>
      <c r="K186" s="11" t="s">
        <v>531</v>
      </c>
      <c r="L186" s="11" t="s">
        <v>34</v>
      </c>
      <c r="M186" s="13"/>
    </row>
    <row r="187" spans="1:13" x14ac:dyDescent="0.3">
      <c r="A187" s="11" t="s">
        <v>532</v>
      </c>
      <c r="B187" s="11" t="s">
        <v>473</v>
      </c>
      <c r="C187" s="11" t="s">
        <v>474</v>
      </c>
      <c r="D187" s="11" t="s">
        <v>533</v>
      </c>
      <c r="E187" s="11"/>
      <c r="F187" s="11" t="s">
        <v>31</v>
      </c>
      <c r="G187" s="11"/>
      <c r="H187" s="11"/>
      <c r="I187" s="12">
        <v>0.64</v>
      </c>
      <c r="J187" s="11"/>
      <c r="K187" s="11" t="s">
        <v>534</v>
      </c>
      <c r="L187" s="11" t="s">
        <v>34</v>
      </c>
      <c r="M187" s="13"/>
    </row>
    <row r="188" spans="1:13" x14ac:dyDescent="0.3">
      <c r="A188" s="11" t="s">
        <v>535</v>
      </c>
      <c r="B188" s="11" t="s">
        <v>473</v>
      </c>
      <c r="C188" s="11" t="s">
        <v>474</v>
      </c>
      <c r="D188" s="11" t="s">
        <v>536</v>
      </c>
      <c r="E188" s="11"/>
      <c r="F188" s="11" t="s">
        <v>31</v>
      </c>
      <c r="G188" s="11"/>
      <c r="H188" s="11"/>
      <c r="I188" s="12">
        <v>2.8</v>
      </c>
      <c r="J188" s="11"/>
      <c r="K188" s="11" t="s">
        <v>537</v>
      </c>
      <c r="L188" s="11" t="s">
        <v>34</v>
      </c>
      <c r="M188" s="13"/>
    </row>
    <row r="189" spans="1:13" x14ac:dyDescent="0.3">
      <c r="A189" s="11" t="s">
        <v>538</v>
      </c>
      <c r="B189" s="11" t="s">
        <v>473</v>
      </c>
      <c r="C189" s="11" t="s">
        <v>474</v>
      </c>
      <c r="D189" s="11" t="s">
        <v>539</v>
      </c>
      <c r="E189" s="11"/>
      <c r="F189" s="11" t="s">
        <v>31</v>
      </c>
      <c r="G189" s="11"/>
      <c r="H189" s="11"/>
      <c r="I189" s="12">
        <v>0.64</v>
      </c>
      <c r="J189" s="11"/>
      <c r="K189" s="11" t="s">
        <v>540</v>
      </c>
      <c r="L189" s="11" t="s">
        <v>34</v>
      </c>
      <c r="M189" s="13"/>
    </row>
    <row r="190" spans="1:13" x14ac:dyDescent="0.3">
      <c r="A190" s="11" t="s">
        <v>541</v>
      </c>
      <c r="B190" s="11" t="s">
        <v>473</v>
      </c>
      <c r="C190" s="11" t="s">
        <v>474</v>
      </c>
      <c r="D190" s="11" t="s">
        <v>542</v>
      </c>
      <c r="E190" s="11"/>
      <c r="F190" s="11" t="s">
        <v>31</v>
      </c>
      <c r="G190" s="11"/>
      <c r="H190" s="11"/>
      <c r="I190" s="12">
        <v>0.53</v>
      </c>
      <c r="J190" s="11"/>
      <c r="K190" s="11" t="s">
        <v>543</v>
      </c>
      <c r="L190" s="11" t="s">
        <v>34</v>
      </c>
      <c r="M190" s="13"/>
    </row>
    <row r="191" spans="1:13" x14ac:dyDescent="0.3">
      <c r="A191" s="11" t="s">
        <v>544</v>
      </c>
      <c r="B191" s="11" t="s">
        <v>473</v>
      </c>
      <c r="C191" s="11" t="s">
        <v>474</v>
      </c>
      <c r="D191" s="11" t="s">
        <v>545</v>
      </c>
      <c r="E191" s="11"/>
      <c r="F191" s="11" t="s">
        <v>31</v>
      </c>
      <c r="G191" s="11"/>
      <c r="H191" s="11"/>
      <c r="I191" s="12">
        <v>0.3</v>
      </c>
      <c r="J191" s="11"/>
      <c r="K191" s="11" t="s">
        <v>546</v>
      </c>
      <c r="L191" s="11" t="s">
        <v>34</v>
      </c>
      <c r="M191" s="13"/>
    </row>
    <row r="192" spans="1:13" x14ac:dyDescent="0.3">
      <c r="A192" s="11" t="s">
        <v>547</v>
      </c>
      <c r="B192" s="11" t="s">
        <v>473</v>
      </c>
      <c r="C192" s="11" t="s">
        <v>474</v>
      </c>
      <c r="D192" s="11" t="s">
        <v>548</v>
      </c>
      <c r="E192" s="11"/>
      <c r="F192" s="11" t="s">
        <v>31</v>
      </c>
      <c r="G192" s="11"/>
      <c r="H192" s="11"/>
      <c r="I192" s="12">
        <v>0.22</v>
      </c>
      <c r="J192" s="11"/>
      <c r="K192" s="11" t="s">
        <v>549</v>
      </c>
      <c r="L192" s="11" t="s">
        <v>34</v>
      </c>
      <c r="M192" s="13"/>
    </row>
    <row r="193" spans="1:13" x14ac:dyDescent="0.3">
      <c r="A193" s="11" t="s">
        <v>550</v>
      </c>
      <c r="B193" s="11" t="s">
        <v>473</v>
      </c>
      <c r="C193" s="11" t="s">
        <v>474</v>
      </c>
      <c r="D193" s="11" t="s">
        <v>551</v>
      </c>
      <c r="E193" s="11"/>
      <c r="F193" s="11" t="s">
        <v>31</v>
      </c>
      <c r="G193" s="11"/>
      <c r="H193" s="11"/>
      <c r="I193" s="12">
        <v>0.42</v>
      </c>
      <c r="J193" s="11"/>
      <c r="K193" s="11" t="s">
        <v>552</v>
      </c>
      <c r="L193" s="11" t="s">
        <v>34</v>
      </c>
      <c r="M193" s="13"/>
    </row>
    <row r="194" spans="1:13" x14ac:dyDescent="0.3">
      <c r="A194" s="11" t="s">
        <v>553</v>
      </c>
      <c r="B194" s="11" t="s">
        <v>473</v>
      </c>
      <c r="C194" s="11" t="s">
        <v>474</v>
      </c>
      <c r="D194" s="11" t="s">
        <v>554</v>
      </c>
      <c r="E194" s="11"/>
      <c r="F194" s="11" t="s">
        <v>31</v>
      </c>
      <c r="G194" s="11"/>
      <c r="H194" s="11"/>
      <c r="I194" s="12">
        <v>2.8</v>
      </c>
      <c r="J194" s="11"/>
      <c r="K194" s="11" t="s">
        <v>555</v>
      </c>
      <c r="L194" s="11" t="s">
        <v>34</v>
      </c>
      <c r="M194" s="13"/>
    </row>
    <row r="195" spans="1:13" x14ac:dyDescent="0.3">
      <c r="A195" s="11" t="s">
        <v>556</v>
      </c>
      <c r="B195" s="11" t="s">
        <v>473</v>
      </c>
      <c r="C195" s="11" t="s">
        <v>557</v>
      </c>
      <c r="D195" s="11" t="s">
        <v>558</v>
      </c>
      <c r="E195" s="11"/>
      <c r="F195" s="11" t="s">
        <v>37</v>
      </c>
      <c r="G195" s="11" t="s">
        <v>108</v>
      </c>
      <c r="H195" s="11" t="s">
        <v>109</v>
      </c>
      <c r="I195" s="12">
        <v>0.35</v>
      </c>
      <c r="J195" s="11"/>
      <c r="K195" s="11" t="s">
        <v>559</v>
      </c>
      <c r="L195" s="11" t="s">
        <v>34</v>
      </c>
      <c r="M195" s="13"/>
    </row>
    <row r="196" spans="1:13" x14ac:dyDescent="0.3">
      <c r="A196" s="11" t="s">
        <v>560</v>
      </c>
      <c r="B196" s="11" t="s">
        <v>473</v>
      </c>
      <c r="C196" s="11" t="s">
        <v>557</v>
      </c>
      <c r="D196" s="11" t="s">
        <v>558</v>
      </c>
      <c r="E196" s="11"/>
      <c r="F196" s="11" t="s">
        <v>37</v>
      </c>
      <c r="G196" s="11" t="s">
        <v>112</v>
      </c>
      <c r="H196" s="11" t="s">
        <v>109</v>
      </c>
      <c r="I196" s="12">
        <v>0.25</v>
      </c>
      <c r="J196" s="11"/>
      <c r="K196" s="11" t="s">
        <v>561</v>
      </c>
      <c r="L196" s="11" t="s">
        <v>34</v>
      </c>
      <c r="M196" s="13"/>
    </row>
    <row r="197" spans="1:13" x14ac:dyDescent="0.3">
      <c r="A197" s="11" t="s">
        <v>562</v>
      </c>
      <c r="B197" s="11" t="s">
        <v>473</v>
      </c>
      <c r="C197" s="11" t="s">
        <v>557</v>
      </c>
      <c r="D197" s="11" t="s">
        <v>558</v>
      </c>
      <c r="E197" s="11"/>
      <c r="F197" s="11" t="s">
        <v>37</v>
      </c>
      <c r="G197" s="11" t="s">
        <v>115</v>
      </c>
      <c r="H197" s="11" t="s">
        <v>109</v>
      </c>
      <c r="I197" s="12">
        <v>0.25</v>
      </c>
      <c r="J197" s="11"/>
      <c r="K197" s="11" t="s">
        <v>563</v>
      </c>
      <c r="L197" s="11" t="s">
        <v>34</v>
      </c>
      <c r="M197" s="13"/>
    </row>
    <row r="198" spans="1:13" x14ac:dyDescent="0.3">
      <c r="A198" s="11" t="s">
        <v>564</v>
      </c>
      <c r="B198" s="11" t="s">
        <v>473</v>
      </c>
      <c r="C198" s="11" t="s">
        <v>557</v>
      </c>
      <c r="D198" s="11" t="s">
        <v>558</v>
      </c>
      <c r="E198" s="11"/>
      <c r="F198" s="11" t="s">
        <v>37</v>
      </c>
      <c r="G198" s="11" t="s">
        <v>118</v>
      </c>
      <c r="H198" s="11" t="s">
        <v>109</v>
      </c>
      <c r="I198" s="12">
        <v>0.16</v>
      </c>
      <c r="J198" s="11"/>
      <c r="K198" s="11" t="s">
        <v>565</v>
      </c>
      <c r="L198" s="11" t="s">
        <v>34</v>
      </c>
      <c r="M198" s="13"/>
    </row>
    <row r="199" spans="1:13" x14ac:dyDescent="0.3">
      <c r="A199" s="11" t="s">
        <v>566</v>
      </c>
      <c r="B199" s="11" t="s">
        <v>473</v>
      </c>
      <c r="C199" s="11" t="s">
        <v>557</v>
      </c>
      <c r="D199" s="11" t="s">
        <v>558</v>
      </c>
      <c r="E199" s="11"/>
      <c r="F199" s="11" t="s">
        <v>37</v>
      </c>
      <c r="G199" s="11" t="s">
        <v>121</v>
      </c>
      <c r="H199" s="11" t="s">
        <v>109</v>
      </c>
      <c r="I199" s="12">
        <v>0.13</v>
      </c>
      <c r="J199" s="11"/>
      <c r="K199" s="11" t="s">
        <v>567</v>
      </c>
      <c r="L199" s="11" t="s">
        <v>34</v>
      </c>
      <c r="M199" s="13"/>
    </row>
    <row r="200" spans="1:13" x14ac:dyDescent="0.3">
      <c r="A200" s="11" t="s">
        <v>568</v>
      </c>
      <c r="B200" s="11" t="s">
        <v>473</v>
      </c>
      <c r="C200" s="11" t="s">
        <v>557</v>
      </c>
      <c r="D200" s="11" t="s">
        <v>558</v>
      </c>
      <c r="E200" s="11"/>
      <c r="F200" s="11" t="s">
        <v>124</v>
      </c>
      <c r="G200" s="11" t="s">
        <v>125</v>
      </c>
      <c r="H200" s="11" t="s">
        <v>126</v>
      </c>
      <c r="I200" s="12">
        <v>0.16</v>
      </c>
      <c r="J200" s="11"/>
      <c r="K200" s="11" t="s">
        <v>569</v>
      </c>
      <c r="L200" s="11" t="s">
        <v>34</v>
      </c>
      <c r="M200" s="13"/>
    </row>
    <row r="201" spans="1:13" x14ac:dyDescent="0.3">
      <c r="A201" s="11" t="s">
        <v>570</v>
      </c>
      <c r="B201" s="11" t="s">
        <v>473</v>
      </c>
      <c r="C201" s="11" t="s">
        <v>557</v>
      </c>
      <c r="D201" s="11" t="s">
        <v>558</v>
      </c>
      <c r="E201" s="11"/>
      <c r="F201" s="11" t="s">
        <v>129</v>
      </c>
      <c r="G201" s="11" t="s">
        <v>130</v>
      </c>
      <c r="H201" s="11"/>
      <c r="I201" s="12">
        <v>0.6</v>
      </c>
      <c r="J201" s="11"/>
      <c r="K201" s="11" t="s">
        <v>571</v>
      </c>
      <c r="L201" s="11" t="s">
        <v>34</v>
      </c>
      <c r="M201" s="13"/>
    </row>
    <row r="202" spans="1:13" x14ac:dyDescent="0.3">
      <c r="A202" s="11" t="s">
        <v>572</v>
      </c>
      <c r="B202" s="11" t="s">
        <v>473</v>
      </c>
      <c r="C202" s="11" t="s">
        <v>557</v>
      </c>
      <c r="D202" s="11" t="s">
        <v>558</v>
      </c>
      <c r="E202" s="11"/>
      <c r="F202" s="11" t="s">
        <v>129</v>
      </c>
      <c r="G202" s="11" t="s">
        <v>133</v>
      </c>
      <c r="H202" s="11"/>
      <c r="I202" s="12">
        <v>0.45</v>
      </c>
      <c r="J202" s="11"/>
      <c r="K202" s="11" t="s">
        <v>573</v>
      </c>
      <c r="L202" s="11" t="s">
        <v>34</v>
      </c>
      <c r="M202" s="13"/>
    </row>
    <row r="203" spans="1:13" x14ac:dyDescent="0.3">
      <c r="A203" s="11" t="s">
        <v>574</v>
      </c>
      <c r="B203" s="11" t="s">
        <v>473</v>
      </c>
      <c r="C203" s="11" t="s">
        <v>557</v>
      </c>
      <c r="D203" s="11" t="s">
        <v>558</v>
      </c>
      <c r="E203" s="11"/>
      <c r="F203" s="11" t="s">
        <v>129</v>
      </c>
      <c r="G203" s="11" t="s">
        <v>136</v>
      </c>
      <c r="H203" s="11"/>
      <c r="I203" s="12">
        <v>0.25</v>
      </c>
      <c r="J203" s="11"/>
      <c r="K203" s="11" t="s">
        <v>575</v>
      </c>
      <c r="L203" s="11" t="s">
        <v>34</v>
      </c>
      <c r="M203" s="13"/>
    </row>
    <row r="204" spans="1:13" x14ac:dyDescent="0.3">
      <c r="A204" s="11" t="s">
        <v>576</v>
      </c>
      <c r="B204" s="11" t="s">
        <v>473</v>
      </c>
      <c r="C204" s="11" t="s">
        <v>557</v>
      </c>
      <c r="D204" s="11" t="s">
        <v>558</v>
      </c>
      <c r="E204" s="11"/>
      <c r="F204" s="11" t="s">
        <v>129</v>
      </c>
      <c r="G204" s="11" t="s">
        <v>139</v>
      </c>
      <c r="H204" s="11"/>
      <c r="I204" s="12">
        <v>0.25</v>
      </c>
      <c r="J204" s="11"/>
      <c r="K204" s="11" t="s">
        <v>577</v>
      </c>
      <c r="L204" s="11" t="s">
        <v>34</v>
      </c>
      <c r="M204" s="13"/>
    </row>
    <row r="205" spans="1:13" x14ac:dyDescent="0.3">
      <c r="A205" s="11" t="s">
        <v>578</v>
      </c>
      <c r="B205" s="11" t="s">
        <v>473</v>
      </c>
      <c r="C205" s="11" t="s">
        <v>557</v>
      </c>
      <c r="D205" s="11" t="s">
        <v>558</v>
      </c>
      <c r="E205" s="11"/>
      <c r="F205" s="11" t="s">
        <v>129</v>
      </c>
      <c r="G205" s="11" t="s">
        <v>175</v>
      </c>
      <c r="H205" s="11"/>
      <c r="I205" s="12">
        <v>0.16</v>
      </c>
      <c r="J205" s="11"/>
      <c r="K205" s="11" t="s">
        <v>579</v>
      </c>
      <c r="L205" s="11" t="s">
        <v>34</v>
      </c>
      <c r="M205" s="13"/>
    </row>
    <row r="206" spans="1:13" x14ac:dyDescent="0.3">
      <c r="A206" s="11" t="s">
        <v>580</v>
      </c>
      <c r="B206" s="11" t="s">
        <v>473</v>
      </c>
      <c r="C206" s="11" t="s">
        <v>557</v>
      </c>
      <c r="D206" s="11" t="s">
        <v>558</v>
      </c>
      <c r="E206" s="11"/>
      <c r="F206" s="11" t="s">
        <v>129</v>
      </c>
      <c r="G206" s="11" t="s">
        <v>145</v>
      </c>
      <c r="H206" s="11" t="s">
        <v>146</v>
      </c>
      <c r="I206" s="12">
        <v>0.13</v>
      </c>
      <c r="J206" s="11"/>
      <c r="K206" s="11" t="s">
        <v>581</v>
      </c>
      <c r="L206" s="11" t="s">
        <v>34</v>
      </c>
      <c r="M206" s="13"/>
    </row>
    <row r="207" spans="1:13" x14ac:dyDescent="0.3">
      <c r="A207" s="11" t="s">
        <v>582</v>
      </c>
      <c r="B207" s="11" t="s">
        <v>473</v>
      </c>
      <c r="C207" s="11" t="s">
        <v>557</v>
      </c>
      <c r="D207" s="11" t="s">
        <v>558</v>
      </c>
      <c r="E207" s="11"/>
      <c r="F207" s="11" t="s">
        <v>129</v>
      </c>
      <c r="G207" s="11" t="s">
        <v>164</v>
      </c>
      <c r="H207" s="11"/>
      <c r="I207" s="12">
        <v>1.1399999999999999</v>
      </c>
      <c r="J207" s="11"/>
      <c r="K207" s="11" t="s">
        <v>583</v>
      </c>
      <c r="L207" s="11" t="s">
        <v>34</v>
      </c>
      <c r="M207" s="13"/>
    </row>
    <row r="208" spans="1:13" x14ac:dyDescent="0.3">
      <c r="A208" s="11" t="s">
        <v>584</v>
      </c>
      <c r="B208" s="11" t="s">
        <v>473</v>
      </c>
      <c r="C208" s="11" t="s">
        <v>557</v>
      </c>
      <c r="D208" s="11" t="s">
        <v>585</v>
      </c>
      <c r="E208" s="11"/>
      <c r="F208" s="11" t="s">
        <v>31</v>
      </c>
      <c r="G208" s="11"/>
      <c r="H208" s="11"/>
      <c r="I208" s="12">
        <v>0.42</v>
      </c>
      <c r="J208" s="11"/>
      <c r="K208" s="11" t="s">
        <v>586</v>
      </c>
      <c r="L208" s="11" t="s">
        <v>34</v>
      </c>
      <c r="M208" s="13"/>
    </row>
    <row r="209" spans="1:13" x14ac:dyDescent="0.3">
      <c r="A209" s="11" t="s">
        <v>587</v>
      </c>
      <c r="B209" s="11" t="s">
        <v>473</v>
      </c>
      <c r="C209" s="11" t="s">
        <v>557</v>
      </c>
      <c r="D209" s="11" t="s">
        <v>588</v>
      </c>
      <c r="E209" s="11"/>
      <c r="F209" s="11" t="s">
        <v>31</v>
      </c>
      <c r="G209" s="11"/>
      <c r="H209" s="11"/>
      <c r="I209" s="12">
        <v>0.28999999999999998</v>
      </c>
      <c r="J209" s="11"/>
      <c r="K209" s="11" t="s">
        <v>589</v>
      </c>
      <c r="L209" s="11" t="s">
        <v>34</v>
      </c>
      <c r="M209" s="13"/>
    </row>
    <row r="210" spans="1:13" x14ac:dyDescent="0.3">
      <c r="A210" s="11" t="s">
        <v>590</v>
      </c>
      <c r="B210" s="11" t="s">
        <v>473</v>
      </c>
      <c r="C210" s="11" t="s">
        <v>557</v>
      </c>
      <c r="D210" s="11" t="s">
        <v>591</v>
      </c>
      <c r="E210" s="11"/>
      <c r="F210" s="11" t="s">
        <v>31</v>
      </c>
      <c r="G210" s="11"/>
      <c r="H210" s="11"/>
      <c r="I210" s="12">
        <v>0.25</v>
      </c>
      <c r="J210" s="11"/>
      <c r="K210" s="11" t="s">
        <v>592</v>
      </c>
      <c r="L210" s="11" t="s">
        <v>34</v>
      </c>
      <c r="M210" s="13"/>
    </row>
    <row r="211" spans="1:13" x14ac:dyDescent="0.3">
      <c r="A211" s="11" t="s">
        <v>593</v>
      </c>
      <c r="B211" s="11" t="s">
        <v>473</v>
      </c>
      <c r="C211" s="11" t="s">
        <v>557</v>
      </c>
      <c r="D211" s="11" t="s">
        <v>594</v>
      </c>
      <c r="E211" s="11"/>
      <c r="F211" s="11" t="s">
        <v>31</v>
      </c>
      <c r="G211" s="11"/>
      <c r="H211" s="11"/>
      <c r="I211" s="12">
        <v>1.1000000000000001</v>
      </c>
      <c r="J211" s="11"/>
      <c r="K211" s="11" t="s">
        <v>595</v>
      </c>
      <c r="L211" s="11" t="s">
        <v>34</v>
      </c>
      <c r="M211" s="13"/>
    </row>
    <row r="212" spans="1:13" x14ac:dyDescent="0.3">
      <c r="A212" s="11" t="s">
        <v>596</v>
      </c>
      <c r="B212" s="11" t="s">
        <v>473</v>
      </c>
      <c r="C212" s="11" t="s">
        <v>557</v>
      </c>
      <c r="D212" s="11" t="s">
        <v>597</v>
      </c>
      <c r="E212" s="11"/>
      <c r="F212" s="11" t="s">
        <v>31</v>
      </c>
      <c r="G212" s="11"/>
      <c r="H212" s="11"/>
      <c r="I212" s="12">
        <v>0.16</v>
      </c>
      <c r="J212" s="11"/>
      <c r="K212" s="11" t="s">
        <v>598</v>
      </c>
      <c r="L212" s="11" t="s">
        <v>34</v>
      </c>
      <c r="M212" s="13"/>
    </row>
    <row r="213" spans="1:13" x14ac:dyDescent="0.3">
      <c r="A213" s="11" t="s">
        <v>599</v>
      </c>
      <c r="B213" s="11" t="s">
        <v>473</v>
      </c>
      <c r="C213" s="11" t="s">
        <v>557</v>
      </c>
      <c r="D213" s="11" t="s">
        <v>600</v>
      </c>
      <c r="E213" s="11"/>
      <c r="F213" s="11" t="s">
        <v>31</v>
      </c>
      <c r="G213" s="11"/>
      <c r="H213" s="11"/>
      <c r="I213" s="12">
        <v>0.14000000000000001</v>
      </c>
      <c r="J213" s="11"/>
      <c r="K213" s="11" t="s">
        <v>601</v>
      </c>
      <c r="L213" s="11" t="s">
        <v>34</v>
      </c>
      <c r="M213" s="13"/>
    </row>
    <row r="214" spans="1:13" x14ac:dyDescent="0.3">
      <c r="A214" s="11" t="s">
        <v>602</v>
      </c>
      <c r="B214" s="11" t="s">
        <v>473</v>
      </c>
      <c r="C214" s="11" t="s">
        <v>557</v>
      </c>
      <c r="D214" s="11" t="s">
        <v>603</v>
      </c>
      <c r="E214" s="11"/>
      <c r="F214" s="11" t="s">
        <v>31</v>
      </c>
      <c r="G214" s="11"/>
      <c r="H214" s="11"/>
      <c r="I214" s="12">
        <v>0.72</v>
      </c>
      <c r="J214" s="11"/>
      <c r="K214" s="11" t="s">
        <v>604</v>
      </c>
      <c r="L214" s="11" t="s">
        <v>34</v>
      </c>
      <c r="M214" s="13"/>
    </row>
    <row r="215" spans="1:13" x14ac:dyDescent="0.3">
      <c r="A215" s="11" t="s">
        <v>605</v>
      </c>
      <c r="B215" s="11" t="s">
        <v>473</v>
      </c>
      <c r="C215" s="11" t="s">
        <v>557</v>
      </c>
      <c r="D215" s="11" t="s">
        <v>606</v>
      </c>
      <c r="E215" s="11"/>
      <c r="F215" s="11" t="s">
        <v>31</v>
      </c>
      <c r="G215" s="11"/>
      <c r="H215" s="11"/>
      <c r="I215" s="12">
        <v>0.53</v>
      </c>
      <c r="J215" s="11"/>
      <c r="K215" s="11" t="s">
        <v>607</v>
      </c>
      <c r="L215" s="11" t="s">
        <v>34</v>
      </c>
      <c r="M215" s="13"/>
    </row>
    <row r="216" spans="1:13" x14ac:dyDescent="0.3">
      <c r="A216" s="11" t="s">
        <v>608</v>
      </c>
      <c r="B216" s="11" t="s">
        <v>473</v>
      </c>
      <c r="C216" s="11" t="s">
        <v>557</v>
      </c>
      <c r="D216" s="11" t="s">
        <v>609</v>
      </c>
      <c r="E216" s="11"/>
      <c r="F216" s="11" t="s">
        <v>31</v>
      </c>
      <c r="G216" s="11"/>
      <c r="H216" s="11"/>
      <c r="I216" s="12">
        <v>1.2</v>
      </c>
      <c r="J216" s="11"/>
      <c r="K216" s="11" t="s">
        <v>610</v>
      </c>
      <c r="L216" s="11" t="s">
        <v>34</v>
      </c>
      <c r="M216" s="13"/>
    </row>
    <row r="217" spans="1:13" x14ac:dyDescent="0.3">
      <c r="A217" s="11" t="s">
        <v>611</v>
      </c>
      <c r="B217" s="11" t="s">
        <v>473</v>
      </c>
      <c r="C217" s="11" t="s">
        <v>557</v>
      </c>
      <c r="D217" s="11" t="s">
        <v>612</v>
      </c>
      <c r="E217" s="11"/>
      <c r="F217" s="11" t="s">
        <v>31</v>
      </c>
      <c r="G217" s="11"/>
      <c r="H217" s="11"/>
      <c r="I217" s="12">
        <v>2.7</v>
      </c>
      <c r="J217" s="11"/>
      <c r="K217" s="11" t="s">
        <v>613</v>
      </c>
      <c r="L217" s="11" t="s">
        <v>34</v>
      </c>
      <c r="M217" s="13"/>
    </row>
    <row r="218" spans="1:13" x14ac:dyDescent="0.3">
      <c r="A218" s="11" t="s">
        <v>614</v>
      </c>
      <c r="B218" s="11" t="s">
        <v>473</v>
      </c>
      <c r="C218" s="11" t="s">
        <v>615</v>
      </c>
      <c r="D218" s="11" t="s">
        <v>616</v>
      </c>
      <c r="E218" s="11"/>
      <c r="F218" s="11" t="s">
        <v>31</v>
      </c>
      <c r="G218" s="11"/>
      <c r="H218" s="11"/>
      <c r="I218" s="12">
        <v>0.55000000000000004</v>
      </c>
      <c r="J218" s="11"/>
      <c r="K218" s="11" t="s">
        <v>617</v>
      </c>
      <c r="L218" s="11" t="s">
        <v>34</v>
      </c>
      <c r="M218" s="13"/>
    </row>
    <row r="219" spans="1:13" x14ac:dyDescent="0.3">
      <c r="A219" s="11" t="s">
        <v>618</v>
      </c>
      <c r="B219" s="11" t="s">
        <v>473</v>
      </c>
      <c r="C219" s="11" t="s">
        <v>615</v>
      </c>
      <c r="D219" s="11" t="s">
        <v>619</v>
      </c>
      <c r="E219" s="11"/>
      <c r="F219" s="11" t="s">
        <v>31</v>
      </c>
      <c r="G219" s="11"/>
      <c r="H219" s="11"/>
      <c r="I219" s="12">
        <v>2.4</v>
      </c>
      <c r="J219" s="11"/>
      <c r="K219" s="11" t="s">
        <v>620</v>
      </c>
      <c r="L219" s="11" t="s">
        <v>34</v>
      </c>
      <c r="M219" s="13"/>
    </row>
    <row r="220" spans="1:13" x14ac:dyDescent="0.3">
      <c r="A220" s="11" t="s">
        <v>621</v>
      </c>
      <c r="B220" s="11" t="s">
        <v>473</v>
      </c>
      <c r="C220" s="11" t="s">
        <v>615</v>
      </c>
      <c r="D220" s="11" t="s">
        <v>622</v>
      </c>
      <c r="E220" s="11"/>
      <c r="F220" s="11" t="s">
        <v>37</v>
      </c>
      <c r="G220" s="11" t="s">
        <v>623</v>
      </c>
      <c r="H220" s="11"/>
      <c r="I220" s="12">
        <v>0.36</v>
      </c>
      <c r="J220" s="11"/>
      <c r="K220" s="11" t="s">
        <v>624</v>
      </c>
      <c r="L220" s="11" t="s">
        <v>34</v>
      </c>
      <c r="M220" s="13"/>
    </row>
    <row r="221" spans="1:13" x14ac:dyDescent="0.3">
      <c r="A221" s="11" t="s">
        <v>625</v>
      </c>
      <c r="B221" s="11" t="s">
        <v>473</v>
      </c>
      <c r="C221" s="11" t="s">
        <v>615</v>
      </c>
      <c r="D221" s="11" t="s">
        <v>622</v>
      </c>
      <c r="E221" s="11"/>
      <c r="F221" s="11" t="s">
        <v>37</v>
      </c>
      <c r="G221" s="11" t="s">
        <v>112</v>
      </c>
      <c r="H221" s="11" t="s">
        <v>109</v>
      </c>
      <c r="I221" s="12">
        <v>0.36</v>
      </c>
      <c r="J221" s="11"/>
      <c r="K221" s="11" t="s">
        <v>626</v>
      </c>
      <c r="L221" s="11" t="s">
        <v>34</v>
      </c>
      <c r="M221" s="13"/>
    </row>
    <row r="222" spans="1:13" x14ac:dyDescent="0.3">
      <c r="A222" s="11" t="s">
        <v>627</v>
      </c>
      <c r="B222" s="11" t="s">
        <v>473</v>
      </c>
      <c r="C222" s="11" t="s">
        <v>615</v>
      </c>
      <c r="D222" s="11" t="s">
        <v>622</v>
      </c>
      <c r="E222" s="11"/>
      <c r="F222" s="11" t="s">
        <v>37</v>
      </c>
      <c r="G222" s="11" t="s">
        <v>121</v>
      </c>
      <c r="H222" s="11" t="s">
        <v>109</v>
      </c>
      <c r="I222" s="12">
        <v>0.16</v>
      </c>
      <c r="J222" s="11"/>
      <c r="K222" s="11" t="s">
        <v>628</v>
      </c>
      <c r="L222" s="11" t="s">
        <v>34</v>
      </c>
      <c r="M222" s="13"/>
    </row>
    <row r="223" spans="1:13" x14ac:dyDescent="0.3">
      <c r="A223" s="11" t="s">
        <v>629</v>
      </c>
      <c r="B223" s="11" t="s">
        <v>473</v>
      </c>
      <c r="C223" s="11" t="s">
        <v>615</v>
      </c>
      <c r="D223" s="11" t="s">
        <v>622</v>
      </c>
      <c r="E223" s="11"/>
      <c r="F223" s="11" t="s">
        <v>129</v>
      </c>
      <c r="G223" s="11" t="s">
        <v>130</v>
      </c>
      <c r="H223" s="11"/>
      <c r="I223" s="12">
        <v>0.6</v>
      </c>
      <c r="J223" s="11"/>
      <c r="K223" s="11" t="s">
        <v>630</v>
      </c>
      <c r="L223" s="11" t="s">
        <v>34</v>
      </c>
      <c r="M223" s="13"/>
    </row>
    <row r="224" spans="1:13" x14ac:dyDescent="0.3">
      <c r="A224" s="11" t="s">
        <v>631</v>
      </c>
      <c r="B224" s="11" t="s">
        <v>473</v>
      </c>
      <c r="C224" s="11" t="s">
        <v>615</v>
      </c>
      <c r="D224" s="11" t="s">
        <v>622</v>
      </c>
      <c r="E224" s="11"/>
      <c r="F224" s="11" t="s">
        <v>129</v>
      </c>
      <c r="G224" s="11" t="s">
        <v>133</v>
      </c>
      <c r="H224" s="11"/>
      <c r="I224" s="12">
        <v>0.45</v>
      </c>
      <c r="J224" s="11"/>
      <c r="K224" s="11" t="s">
        <v>632</v>
      </c>
      <c r="L224" s="11" t="s">
        <v>34</v>
      </c>
      <c r="M224" s="13"/>
    </row>
    <row r="225" spans="1:13" x14ac:dyDescent="0.3">
      <c r="A225" s="11" t="s">
        <v>633</v>
      </c>
      <c r="B225" s="11" t="s">
        <v>473</v>
      </c>
      <c r="C225" s="11" t="s">
        <v>615</v>
      </c>
      <c r="D225" s="11" t="s">
        <v>622</v>
      </c>
      <c r="E225" s="11"/>
      <c r="F225" s="11" t="s">
        <v>129</v>
      </c>
      <c r="G225" s="11" t="s">
        <v>136</v>
      </c>
      <c r="H225" s="11"/>
      <c r="I225" s="12">
        <v>0.45</v>
      </c>
      <c r="J225" s="11"/>
      <c r="K225" s="11" t="s">
        <v>634</v>
      </c>
      <c r="L225" s="11" t="s">
        <v>34</v>
      </c>
      <c r="M225" s="13"/>
    </row>
    <row r="226" spans="1:13" x14ac:dyDescent="0.3">
      <c r="A226" s="11" t="s">
        <v>635</v>
      </c>
      <c r="B226" s="11" t="s">
        <v>473</v>
      </c>
      <c r="C226" s="11" t="s">
        <v>615</v>
      </c>
      <c r="D226" s="11" t="s">
        <v>622</v>
      </c>
      <c r="E226" s="11"/>
      <c r="F226" s="11" t="s">
        <v>129</v>
      </c>
      <c r="G226" s="11" t="s">
        <v>139</v>
      </c>
      <c r="H226" s="11"/>
      <c r="I226" s="12">
        <v>0.45</v>
      </c>
      <c r="J226" s="11"/>
      <c r="K226" s="11" t="s">
        <v>636</v>
      </c>
      <c r="L226" s="11" t="s">
        <v>34</v>
      </c>
      <c r="M226" s="13"/>
    </row>
    <row r="227" spans="1:13" x14ac:dyDescent="0.3">
      <c r="A227" s="11" t="s">
        <v>637</v>
      </c>
      <c r="B227" s="11" t="s">
        <v>473</v>
      </c>
      <c r="C227" s="11" t="s">
        <v>615</v>
      </c>
      <c r="D227" s="11" t="s">
        <v>622</v>
      </c>
      <c r="E227" s="11"/>
      <c r="F227" s="11" t="s">
        <v>129</v>
      </c>
      <c r="G227" s="11" t="s">
        <v>175</v>
      </c>
      <c r="H227" s="11"/>
      <c r="I227" s="12">
        <v>0.25</v>
      </c>
      <c r="J227" s="11"/>
      <c r="K227" s="11" t="s">
        <v>638</v>
      </c>
      <c r="L227" s="11" t="s">
        <v>34</v>
      </c>
      <c r="M227" s="13"/>
    </row>
    <row r="228" spans="1:13" x14ac:dyDescent="0.3">
      <c r="A228" s="11" t="s">
        <v>639</v>
      </c>
      <c r="B228" s="11" t="s">
        <v>473</v>
      </c>
      <c r="C228" s="11" t="s">
        <v>615</v>
      </c>
      <c r="D228" s="11" t="s">
        <v>622</v>
      </c>
      <c r="E228" s="11"/>
      <c r="F228" s="11" t="s">
        <v>129</v>
      </c>
      <c r="G228" s="11" t="s">
        <v>164</v>
      </c>
      <c r="H228" s="11"/>
      <c r="I228" s="12">
        <v>0.25</v>
      </c>
      <c r="J228" s="11"/>
      <c r="K228" s="11" t="s">
        <v>640</v>
      </c>
      <c r="L228" s="11" t="s">
        <v>34</v>
      </c>
      <c r="M228" s="13"/>
    </row>
    <row r="229" spans="1:13" x14ac:dyDescent="0.3">
      <c r="A229" s="11" t="s">
        <v>641</v>
      </c>
      <c r="B229" s="11" t="s">
        <v>473</v>
      </c>
      <c r="C229" s="11" t="s">
        <v>615</v>
      </c>
      <c r="D229" s="11" t="s">
        <v>642</v>
      </c>
      <c r="E229" s="11"/>
      <c r="F229" s="11" t="s">
        <v>31</v>
      </c>
      <c r="G229" s="11"/>
      <c r="H229" s="11"/>
      <c r="I229" s="12">
        <v>0.75</v>
      </c>
      <c r="J229" s="11"/>
      <c r="K229" s="11" t="s">
        <v>643</v>
      </c>
      <c r="L229" s="11" t="s">
        <v>34</v>
      </c>
      <c r="M229" s="13"/>
    </row>
    <row r="230" spans="1:13" x14ac:dyDescent="0.3">
      <c r="A230" s="11" t="s">
        <v>644</v>
      </c>
      <c r="B230" s="11" t="s">
        <v>473</v>
      </c>
      <c r="C230" s="11" t="s">
        <v>615</v>
      </c>
      <c r="D230" s="11" t="s">
        <v>645</v>
      </c>
      <c r="E230" s="11"/>
      <c r="F230" s="11" t="s">
        <v>31</v>
      </c>
      <c r="G230" s="11"/>
      <c r="H230" s="11"/>
      <c r="I230" s="12">
        <v>3.85</v>
      </c>
      <c r="J230" s="11"/>
      <c r="K230" s="11" t="s">
        <v>646</v>
      </c>
      <c r="L230" s="11" t="s">
        <v>34</v>
      </c>
      <c r="M230" s="13"/>
    </row>
    <row r="231" spans="1:13" x14ac:dyDescent="0.3">
      <c r="A231" s="11" t="s">
        <v>647</v>
      </c>
      <c r="B231" s="11" t="s">
        <v>473</v>
      </c>
      <c r="C231" s="11" t="s">
        <v>557</v>
      </c>
      <c r="D231" s="11" t="s">
        <v>648</v>
      </c>
      <c r="E231" s="11"/>
      <c r="F231" s="11" t="s">
        <v>31</v>
      </c>
      <c r="G231" s="11"/>
      <c r="H231" s="11"/>
      <c r="I231" s="12">
        <v>2.5</v>
      </c>
      <c r="J231" s="11"/>
      <c r="K231" s="11" t="s">
        <v>649</v>
      </c>
      <c r="L231" s="11" t="s">
        <v>34</v>
      </c>
      <c r="M231" s="13"/>
    </row>
    <row r="232" spans="1:13" x14ac:dyDescent="0.3">
      <c r="A232" s="11" t="s">
        <v>650</v>
      </c>
      <c r="B232" s="11" t="s">
        <v>473</v>
      </c>
      <c r="C232" s="11" t="s">
        <v>557</v>
      </c>
      <c r="D232" s="11" t="s">
        <v>651</v>
      </c>
      <c r="E232" s="11"/>
      <c r="F232" s="11" t="s">
        <v>31</v>
      </c>
      <c r="G232" s="11"/>
      <c r="H232" s="11"/>
      <c r="I232" s="12">
        <v>1.1000000000000001</v>
      </c>
      <c r="J232" s="11"/>
      <c r="K232" s="11" t="s">
        <v>652</v>
      </c>
      <c r="L232" s="11" t="s">
        <v>34</v>
      </c>
      <c r="M232" s="13"/>
    </row>
    <row r="233" spans="1:13" x14ac:dyDescent="0.3">
      <c r="A233" s="11" t="s">
        <v>653</v>
      </c>
      <c r="B233" s="11" t="s">
        <v>473</v>
      </c>
      <c r="C233" s="11" t="s">
        <v>615</v>
      </c>
      <c r="D233" s="11" t="s">
        <v>654</v>
      </c>
      <c r="E233" s="11"/>
      <c r="F233" s="11" t="s">
        <v>31</v>
      </c>
      <c r="G233" s="11"/>
      <c r="H233" s="11"/>
      <c r="I233" s="12">
        <v>3.8</v>
      </c>
      <c r="J233" s="11"/>
      <c r="K233" s="11" t="s">
        <v>655</v>
      </c>
      <c r="L233" s="11" t="s">
        <v>34</v>
      </c>
      <c r="M233" s="13" t="s">
        <v>656</v>
      </c>
    </row>
    <row r="234" spans="1:13" x14ac:dyDescent="0.3">
      <c r="A234" s="11" t="s">
        <v>657</v>
      </c>
      <c r="B234" s="11" t="s">
        <v>473</v>
      </c>
      <c r="C234" s="11" t="s">
        <v>557</v>
      </c>
      <c r="D234" s="11" t="s">
        <v>658</v>
      </c>
      <c r="E234" s="11"/>
      <c r="F234" s="11" t="s">
        <v>31</v>
      </c>
      <c r="G234" s="11"/>
      <c r="H234" s="11"/>
      <c r="I234" s="12">
        <v>2</v>
      </c>
      <c r="J234" s="11"/>
      <c r="K234" s="11" t="s">
        <v>659</v>
      </c>
      <c r="L234" s="11" t="s">
        <v>34</v>
      </c>
      <c r="M234" s="13" t="s">
        <v>656</v>
      </c>
    </row>
    <row r="235" spans="1:13" x14ac:dyDescent="0.3">
      <c r="A235" s="11" t="s">
        <v>660</v>
      </c>
      <c r="B235" s="11" t="s">
        <v>473</v>
      </c>
      <c r="C235" s="11" t="s">
        <v>615</v>
      </c>
      <c r="D235" s="11" t="s">
        <v>661</v>
      </c>
      <c r="E235" s="11"/>
      <c r="F235" s="11" t="s">
        <v>37</v>
      </c>
      <c r="G235" s="11" t="s">
        <v>118</v>
      </c>
      <c r="H235" s="11" t="s">
        <v>109</v>
      </c>
      <c r="I235" s="12">
        <v>0.25</v>
      </c>
      <c r="J235" s="11"/>
      <c r="K235" s="11" t="s">
        <v>662</v>
      </c>
      <c r="L235" s="11" t="s">
        <v>34</v>
      </c>
      <c r="M235" s="13"/>
    </row>
    <row r="236" spans="1:13" x14ac:dyDescent="0.3">
      <c r="A236" s="11" t="s">
        <v>663</v>
      </c>
      <c r="B236" s="11" t="s">
        <v>473</v>
      </c>
      <c r="C236" s="11" t="s">
        <v>615</v>
      </c>
      <c r="D236" s="11" t="s">
        <v>664</v>
      </c>
      <c r="E236" s="11"/>
      <c r="F236" s="11" t="s">
        <v>37</v>
      </c>
      <c r="G236" s="11" t="s">
        <v>118</v>
      </c>
      <c r="H236" s="11" t="s">
        <v>109</v>
      </c>
      <c r="I236" s="12">
        <v>0.2</v>
      </c>
      <c r="J236" s="11"/>
      <c r="K236" s="11" t="s">
        <v>665</v>
      </c>
      <c r="L236" s="11" t="s">
        <v>34</v>
      </c>
      <c r="M236" s="13"/>
    </row>
    <row r="237" spans="1:13" x14ac:dyDescent="0.3">
      <c r="A237" s="11" t="s">
        <v>666</v>
      </c>
      <c r="B237" s="11" t="s">
        <v>667</v>
      </c>
      <c r="C237" s="11" t="s">
        <v>668</v>
      </c>
      <c r="D237" s="11" t="s">
        <v>669</v>
      </c>
      <c r="E237" s="11"/>
      <c r="F237" s="11" t="s">
        <v>37</v>
      </c>
      <c r="G237" s="11" t="s">
        <v>108</v>
      </c>
      <c r="H237" s="11" t="s">
        <v>109</v>
      </c>
      <c r="I237" s="12">
        <v>0.57999999999999996</v>
      </c>
      <c r="J237" s="11"/>
      <c r="K237" s="11" t="s">
        <v>670</v>
      </c>
      <c r="L237" s="11" t="s">
        <v>34</v>
      </c>
      <c r="M237" s="13"/>
    </row>
    <row r="238" spans="1:13" x14ac:dyDescent="0.3">
      <c r="A238" s="11" t="s">
        <v>671</v>
      </c>
      <c r="B238" s="11" t="s">
        <v>667</v>
      </c>
      <c r="C238" s="11" t="s">
        <v>668</v>
      </c>
      <c r="D238" s="11" t="s">
        <v>669</v>
      </c>
      <c r="E238" s="11"/>
      <c r="F238" s="11" t="s">
        <v>37</v>
      </c>
      <c r="G238" s="11" t="s">
        <v>112</v>
      </c>
      <c r="H238" s="11" t="s">
        <v>109</v>
      </c>
      <c r="I238" s="12">
        <v>0.45</v>
      </c>
      <c r="J238" s="11"/>
      <c r="K238" s="11" t="s">
        <v>672</v>
      </c>
      <c r="L238" s="11" t="s">
        <v>34</v>
      </c>
      <c r="M238" s="13"/>
    </row>
    <row r="239" spans="1:13" x14ac:dyDescent="0.3">
      <c r="A239" s="11" t="s">
        <v>673</v>
      </c>
      <c r="B239" s="11" t="s">
        <v>667</v>
      </c>
      <c r="C239" s="11" t="s">
        <v>668</v>
      </c>
      <c r="D239" s="11" t="s">
        <v>669</v>
      </c>
      <c r="E239" s="11"/>
      <c r="F239" s="11" t="s">
        <v>37</v>
      </c>
      <c r="G239" s="11" t="s">
        <v>115</v>
      </c>
      <c r="H239" s="11" t="s">
        <v>109</v>
      </c>
      <c r="I239" s="12">
        <v>0.45</v>
      </c>
      <c r="J239" s="11"/>
      <c r="K239" s="11" t="s">
        <v>674</v>
      </c>
      <c r="L239" s="11" t="s">
        <v>34</v>
      </c>
      <c r="M239" s="13"/>
    </row>
    <row r="240" spans="1:13" x14ac:dyDescent="0.3">
      <c r="A240" s="11" t="s">
        <v>675</v>
      </c>
      <c r="B240" s="11" t="s">
        <v>667</v>
      </c>
      <c r="C240" s="11" t="s">
        <v>668</v>
      </c>
      <c r="D240" s="11" t="s">
        <v>669</v>
      </c>
      <c r="E240" s="11"/>
      <c r="F240" s="11" t="s">
        <v>37</v>
      </c>
      <c r="G240" s="11" t="s">
        <v>118</v>
      </c>
      <c r="H240" s="11" t="s">
        <v>109</v>
      </c>
      <c r="I240" s="12">
        <v>0.25</v>
      </c>
      <c r="J240" s="11"/>
      <c r="K240" s="11" t="s">
        <v>676</v>
      </c>
      <c r="L240" s="11" t="s">
        <v>34</v>
      </c>
      <c r="M240" s="13"/>
    </row>
    <row r="241" spans="1:13" x14ac:dyDescent="0.3">
      <c r="A241" s="11" t="s">
        <v>677</v>
      </c>
      <c r="B241" s="11" t="s">
        <v>667</v>
      </c>
      <c r="C241" s="11" t="s">
        <v>668</v>
      </c>
      <c r="D241" s="11" t="s">
        <v>678</v>
      </c>
      <c r="E241" s="11"/>
      <c r="F241" s="11" t="s">
        <v>37</v>
      </c>
      <c r="G241" s="11" t="s">
        <v>112</v>
      </c>
      <c r="H241" s="11" t="s">
        <v>109</v>
      </c>
      <c r="I241" s="12">
        <v>0.45</v>
      </c>
      <c r="J241" s="11"/>
      <c r="K241" s="11" t="s">
        <v>679</v>
      </c>
      <c r="L241" s="11" t="s">
        <v>34</v>
      </c>
      <c r="M241" s="13"/>
    </row>
    <row r="242" spans="1:13" x14ac:dyDescent="0.3">
      <c r="A242" s="11" t="s">
        <v>680</v>
      </c>
      <c r="B242" s="11" t="s">
        <v>667</v>
      </c>
      <c r="C242" s="11" t="s">
        <v>668</v>
      </c>
      <c r="D242" s="11" t="s">
        <v>678</v>
      </c>
      <c r="E242" s="11"/>
      <c r="F242" s="11" t="s">
        <v>37</v>
      </c>
      <c r="G242" s="11" t="s">
        <v>115</v>
      </c>
      <c r="H242" s="11" t="s">
        <v>109</v>
      </c>
      <c r="I242" s="12">
        <v>0.45</v>
      </c>
      <c r="J242" s="11"/>
      <c r="K242" s="11" t="s">
        <v>681</v>
      </c>
      <c r="L242" s="11" t="s">
        <v>34</v>
      </c>
      <c r="M242" s="13"/>
    </row>
    <row r="243" spans="1:13" x14ac:dyDescent="0.3">
      <c r="A243" s="11" t="s">
        <v>682</v>
      </c>
      <c r="B243" s="11" t="s">
        <v>667</v>
      </c>
      <c r="C243" s="11" t="s">
        <v>668</v>
      </c>
      <c r="D243" s="11" t="s">
        <v>678</v>
      </c>
      <c r="E243" s="11"/>
      <c r="F243" s="11" t="s">
        <v>37</v>
      </c>
      <c r="G243" s="11" t="s">
        <v>118</v>
      </c>
      <c r="H243" s="11" t="s">
        <v>109</v>
      </c>
      <c r="I243" s="12">
        <v>0.25</v>
      </c>
      <c r="J243" s="11"/>
      <c r="K243" s="11" t="s">
        <v>683</v>
      </c>
      <c r="L243" s="11" t="s">
        <v>34</v>
      </c>
      <c r="M243" s="13"/>
    </row>
    <row r="244" spans="1:13" x14ac:dyDescent="0.3">
      <c r="A244" s="11" t="s">
        <v>684</v>
      </c>
      <c r="B244" s="11" t="s">
        <v>667</v>
      </c>
      <c r="C244" s="11" t="s">
        <v>668</v>
      </c>
      <c r="D244" s="11" t="s">
        <v>678</v>
      </c>
      <c r="E244" s="11"/>
      <c r="F244" s="11" t="s">
        <v>37</v>
      </c>
      <c r="G244" s="11" t="s">
        <v>121</v>
      </c>
      <c r="H244" s="11" t="s">
        <v>109</v>
      </c>
      <c r="I244" s="12">
        <v>0.25</v>
      </c>
      <c r="J244" s="11"/>
      <c r="K244" s="11" t="s">
        <v>685</v>
      </c>
      <c r="L244" s="11" t="s">
        <v>34</v>
      </c>
      <c r="M244" s="13"/>
    </row>
    <row r="245" spans="1:13" x14ac:dyDescent="0.3">
      <c r="A245" s="11" t="s">
        <v>686</v>
      </c>
      <c r="B245" s="11" t="s">
        <v>667</v>
      </c>
      <c r="C245" s="11" t="s">
        <v>668</v>
      </c>
      <c r="D245" s="11" t="s">
        <v>678</v>
      </c>
      <c r="E245" s="11"/>
      <c r="F245" s="11" t="s">
        <v>129</v>
      </c>
      <c r="G245" s="11" t="s">
        <v>687</v>
      </c>
      <c r="H245" s="11"/>
      <c r="I245" s="12">
        <v>0.45</v>
      </c>
      <c r="J245" s="11"/>
      <c r="K245" s="11" t="s">
        <v>688</v>
      </c>
      <c r="L245" s="11" t="s">
        <v>34</v>
      </c>
      <c r="M245" s="13"/>
    </row>
    <row r="246" spans="1:13" x14ac:dyDescent="0.3">
      <c r="A246" s="11" t="s">
        <v>689</v>
      </c>
      <c r="B246" s="11" t="s">
        <v>667</v>
      </c>
      <c r="C246" s="11" t="s">
        <v>668</v>
      </c>
      <c r="D246" s="11" t="s">
        <v>678</v>
      </c>
      <c r="E246" s="11"/>
      <c r="F246" s="11" t="s">
        <v>129</v>
      </c>
      <c r="G246" s="11" t="s">
        <v>175</v>
      </c>
      <c r="H246" s="11"/>
      <c r="I246" s="12">
        <v>0.25</v>
      </c>
      <c r="J246" s="11"/>
      <c r="K246" s="11" t="s">
        <v>690</v>
      </c>
      <c r="L246" s="11" t="s">
        <v>34</v>
      </c>
      <c r="M246" s="13"/>
    </row>
    <row r="247" spans="1:13" x14ac:dyDescent="0.3">
      <c r="A247" s="11" t="s">
        <v>691</v>
      </c>
      <c r="B247" s="11" t="s">
        <v>667</v>
      </c>
      <c r="C247" s="11" t="s">
        <v>668</v>
      </c>
      <c r="D247" s="11" t="s">
        <v>678</v>
      </c>
      <c r="E247" s="11"/>
      <c r="F247" s="11" t="s">
        <v>129</v>
      </c>
      <c r="G247" s="11" t="s">
        <v>145</v>
      </c>
      <c r="H247" s="11" t="s">
        <v>146</v>
      </c>
      <c r="I247" s="12">
        <v>0.22</v>
      </c>
      <c r="J247" s="11"/>
      <c r="K247" s="11" t="s">
        <v>692</v>
      </c>
      <c r="L247" s="11" t="s">
        <v>34</v>
      </c>
      <c r="M247" s="13"/>
    </row>
    <row r="248" spans="1:13" x14ac:dyDescent="0.3">
      <c r="A248" s="11" t="s">
        <v>693</v>
      </c>
      <c r="B248" s="11" t="s">
        <v>667</v>
      </c>
      <c r="C248" s="11" t="s">
        <v>668</v>
      </c>
      <c r="D248" s="11" t="s">
        <v>678</v>
      </c>
      <c r="E248" s="11"/>
      <c r="F248" s="11" t="s">
        <v>31</v>
      </c>
      <c r="G248" s="11" t="s">
        <v>63</v>
      </c>
      <c r="H248" s="11"/>
      <c r="I248" s="12">
        <v>0.45</v>
      </c>
      <c r="J248" s="11"/>
      <c r="K248" s="11" t="s">
        <v>694</v>
      </c>
      <c r="L248" s="11" t="s">
        <v>34</v>
      </c>
      <c r="M248" s="13"/>
    </row>
    <row r="249" spans="1:13" x14ac:dyDescent="0.3">
      <c r="A249" s="11" t="s">
        <v>695</v>
      </c>
      <c r="B249" s="11" t="s">
        <v>667</v>
      </c>
      <c r="C249" s="11" t="s">
        <v>668</v>
      </c>
      <c r="D249" s="11" t="s">
        <v>678</v>
      </c>
      <c r="E249" s="11"/>
      <c r="F249" s="11" t="s">
        <v>31</v>
      </c>
      <c r="G249" s="11" t="s">
        <v>57</v>
      </c>
      <c r="H249" s="11"/>
      <c r="I249" s="12">
        <v>0.57999999999999996</v>
      </c>
      <c r="J249" s="11"/>
      <c r="K249" s="11" t="s">
        <v>696</v>
      </c>
      <c r="L249" s="11" t="s">
        <v>34</v>
      </c>
      <c r="M249" s="13"/>
    </row>
    <row r="250" spans="1:13" x14ac:dyDescent="0.3">
      <c r="A250" s="11" t="s">
        <v>697</v>
      </c>
      <c r="B250" s="11" t="s">
        <v>667</v>
      </c>
      <c r="C250" s="11" t="s">
        <v>668</v>
      </c>
      <c r="D250" s="11" t="s">
        <v>698</v>
      </c>
      <c r="E250" s="11"/>
      <c r="F250" s="11" t="s">
        <v>31</v>
      </c>
      <c r="G250" s="11" t="s">
        <v>57</v>
      </c>
      <c r="H250" s="11"/>
      <c r="I250" s="12">
        <v>0.57999999999999996</v>
      </c>
      <c r="J250" s="11"/>
      <c r="K250" s="11" t="s">
        <v>699</v>
      </c>
      <c r="L250" s="11" t="s">
        <v>34</v>
      </c>
      <c r="M250" s="13"/>
    </row>
    <row r="251" spans="1:13" x14ac:dyDescent="0.3">
      <c r="A251" s="11" t="s">
        <v>700</v>
      </c>
      <c r="B251" s="11" t="s">
        <v>667</v>
      </c>
      <c r="C251" s="11" t="s">
        <v>701</v>
      </c>
      <c r="D251" s="11" t="s">
        <v>702</v>
      </c>
      <c r="E251" s="11"/>
      <c r="F251" s="11" t="s">
        <v>37</v>
      </c>
      <c r="G251" s="11" t="s">
        <v>703</v>
      </c>
      <c r="H251" s="11" t="s">
        <v>57</v>
      </c>
      <c r="I251" s="12">
        <v>2.2599999999999998</v>
      </c>
      <c r="J251" s="11"/>
      <c r="K251" s="11" t="s">
        <v>704</v>
      </c>
      <c r="L251" s="11" t="s">
        <v>34</v>
      </c>
      <c r="M251" s="13"/>
    </row>
    <row r="252" spans="1:13" x14ac:dyDescent="0.3">
      <c r="A252" s="11" t="s">
        <v>705</v>
      </c>
      <c r="B252" s="11" t="s">
        <v>667</v>
      </c>
      <c r="C252" s="11" t="s">
        <v>701</v>
      </c>
      <c r="D252" s="11" t="s">
        <v>702</v>
      </c>
      <c r="E252" s="11"/>
      <c r="F252" s="11" t="s">
        <v>37</v>
      </c>
      <c r="G252" s="11" t="s">
        <v>108</v>
      </c>
      <c r="H252" s="11" t="s">
        <v>109</v>
      </c>
      <c r="I252" s="12">
        <v>1.6</v>
      </c>
      <c r="J252" s="11"/>
      <c r="K252" s="11" t="s">
        <v>706</v>
      </c>
      <c r="L252" s="11" t="s">
        <v>34</v>
      </c>
      <c r="M252" s="13"/>
    </row>
    <row r="253" spans="1:13" x14ac:dyDescent="0.3">
      <c r="A253" s="11" t="s">
        <v>707</v>
      </c>
      <c r="B253" s="11" t="s">
        <v>667</v>
      </c>
      <c r="C253" s="11" t="s">
        <v>701</v>
      </c>
      <c r="D253" s="11" t="s">
        <v>702</v>
      </c>
      <c r="E253" s="11"/>
      <c r="F253" s="11" t="s">
        <v>37</v>
      </c>
      <c r="G253" s="11" t="s">
        <v>112</v>
      </c>
      <c r="H253" s="11" t="s">
        <v>109</v>
      </c>
      <c r="I253" s="12">
        <v>0.45</v>
      </c>
      <c r="J253" s="11"/>
      <c r="K253" s="11" t="s">
        <v>708</v>
      </c>
      <c r="L253" s="11" t="s">
        <v>34</v>
      </c>
      <c r="M253" s="13"/>
    </row>
    <row r="254" spans="1:13" x14ac:dyDescent="0.3">
      <c r="A254" s="11" t="s">
        <v>709</v>
      </c>
      <c r="B254" s="11" t="s">
        <v>667</v>
      </c>
      <c r="C254" s="11" t="s">
        <v>701</v>
      </c>
      <c r="D254" s="11" t="s">
        <v>702</v>
      </c>
      <c r="E254" s="11"/>
      <c r="F254" s="11" t="s">
        <v>37</v>
      </c>
      <c r="G254" s="11" t="s">
        <v>115</v>
      </c>
      <c r="H254" s="11" t="s">
        <v>109</v>
      </c>
      <c r="I254" s="12">
        <v>0.45</v>
      </c>
      <c r="J254" s="11"/>
      <c r="K254" s="11" t="s">
        <v>710</v>
      </c>
      <c r="L254" s="11" t="s">
        <v>34</v>
      </c>
      <c r="M254" s="13"/>
    </row>
    <row r="255" spans="1:13" x14ac:dyDescent="0.3">
      <c r="A255" s="11" t="s">
        <v>711</v>
      </c>
      <c r="B255" s="11" t="s">
        <v>667</v>
      </c>
      <c r="C255" s="11" t="s">
        <v>701</v>
      </c>
      <c r="D255" s="11" t="s">
        <v>702</v>
      </c>
      <c r="E255" s="11"/>
      <c r="F255" s="11" t="s">
        <v>37</v>
      </c>
      <c r="G255" s="11" t="s">
        <v>118</v>
      </c>
      <c r="H255" s="11" t="s">
        <v>109</v>
      </c>
      <c r="I255" s="12">
        <v>0.25</v>
      </c>
      <c r="J255" s="11"/>
      <c r="K255" s="11" t="s">
        <v>712</v>
      </c>
      <c r="L255" s="11" t="s">
        <v>34</v>
      </c>
      <c r="M255" s="13"/>
    </row>
    <row r="256" spans="1:13" x14ac:dyDescent="0.3">
      <c r="A256" s="11" t="s">
        <v>713</v>
      </c>
      <c r="B256" s="11" t="s">
        <v>667</v>
      </c>
      <c r="C256" s="11" t="s">
        <v>701</v>
      </c>
      <c r="D256" s="11" t="s">
        <v>702</v>
      </c>
      <c r="E256" s="11"/>
      <c r="F256" s="11" t="s">
        <v>37</v>
      </c>
      <c r="G256" s="11" t="s">
        <v>121</v>
      </c>
      <c r="H256" s="11" t="s">
        <v>109</v>
      </c>
      <c r="I256" s="12">
        <v>0.25</v>
      </c>
      <c r="J256" s="11"/>
      <c r="K256" s="11" t="s">
        <v>714</v>
      </c>
      <c r="L256" s="11" t="s">
        <v>34</v>
      </c>
      <c r="M256" s="13"/>
    </row>
    <row r="257" spans="1:13" x14ac:dyDescent="0.3">
      <c r="A257" s="11" t="s">
        <v>715</v>
      </c>
      <c r="B257" s="11" t="s">
        <v>667</v>
      </c>
      <c r="C257" s="11" t="s">
        <v>701</v>
      </c>
      <c r="D257" s="11" t="s">
        <v>716</v>
      </c>
      <c r="E257" s="11"/>
      <c r="F257" s="11" t="s">
        <v>37</v>
      </c>
      <c r="G257" s="11" t="s">
        <v>703</v>
      </c>
      <c r="H257" s="11" t="s">
        <v>57</v>
      </c>
      <c r="I257" s="12">
        <v>1.97</v>
      </c>
      <c r="J257" s="11"/>
      <c r="K257" s="11" t="s">
        <v>717</v>
      </c>
      <c r="L257" s="11" t="s">
        <v>34</v>
      </c>
      <c r="M257" s="13" t="s">
        <v>306</v>
      </c>
    </row>
    <row r="258" spans="1:13" x14ac:dyDescent="0.3">
      <c r="A258" s="11" t="s">
        <v>718</v>
      </c>
      <c r="B258" s="11" t="s">
        <v>667</v>
      </c>
      <c r="C258" s="11" t="s">
        <v>701</v>
      </c>
      <c r="D258" s="11" t="s">
        <v>716</v>
      </c>
      <c r="E258" s="11"/>
      <c r="F258" s="11" t="s">
        <v>37</v>
      </c>
      <c r="G258" s="11" t="s">
        <v>108</v>
      </c>
      <c r="H258" s="11" t="s">
        <v>109</v>
      </c>
      <c r="I258" s="12">
        <v>1.6</v>
      </c>
      <c r="J258" s="11"/>
      <c r="K258" s="11" t="s">
        <v>719</v>
      </c>
      <c r="L258" s="11" t="s">
        <v>34</v>
      </c>
      <c r="M258" s="13" t="s">
        <v>306</v>
      </c>
    </row>
    <row r="259" spans="1:13" x14ac:dyDescent="0.3">
      <c r="A259" s="11" t="s">
        <v>720</v>
      </c>
      <c r="B259" s="11" t="s">
        <v>667</v>
      </c>
      <c r="C259" s="11" t="s">
        <v>701</v>
      </c>
      <c r="D259" s="11" t="s">
        <v>716</v>
      </c>
      <c r="E259" s="11"/>
      <c r="F259" s="11" t="s">
        <v>37</v>
      </c>
      <c r="G259" s="11" t="s">
        <v>112</v>
      </c>
      <c r="H259" s="11" t="s">
        <v>109</v>
      </c>
      <c r="I259" s="12">
        <v>0.45</v>
      </c>
      <c r="J259" s="11"/>
      <c r="K259" s="11" t="s">
        <v>721</v>
      </c>
      <c r="L259" s="11" t="s">
        <v>34</v>
      </c>
      <c r="M259" s="13" t="s">
        <v>306</v>
      </c>
    </row>
    <row r="260" spans="1:13" x14ac:dyDescent="0.3">
      <c r="A260" s="11" t="s">
        <v>722</v>
      </c>
      <c r="B260" s="11" t="s">
        <v>667</v>
      </c>
      <c r="C260" s="11" t="s">
        <v>701</v>
      </c>
      <c r="D260" s="11" t="s">
        <v>716</v>
      </c>
      <c r="E260" s="11"/>
      <c r="F260" s="11" t="s">
        <v>37</v>
      </c>
      <c r="G260" s="11" t="s">
        <v>115</v>
      </c>
      <c r="H260" s="11" t="s">
        <v>109</v>
      </c>
      <c r="I260" s="12">
        <v>0.45</v>
      </c>
      <c r="J260" s="11"/>
      <c r="K260" s="11" t="s">
        <v>723</v>
      </c>
      <c r="L260" s="11" t="s">
        <v>34</v>
      </c>
      <c r="M260" s="13" t="s">
        <v>306</v>
      </c>
    </row>
    <row r="261" spans="1:13" x14ac:dyDescent="0.3">
      <c r="A261" s="11" t="s">
        <v>724</v>
      </c>
      <c r="B261" s="11" t="s">
        <v>667</v>
      </c>
      <c r="C261" s="11" t="s">
        <v>701</v>
      </c>
      <c r="D261" s="11" t="s">
        <v>716</v>
      </c>
      <c r="E261" s="11"/>
      <c r="F261" s="11" t="s">
        <v>37</v>
      </c>
      <c r="G261" s="11" t="s">
        <v>118</v>
      </c>
      <c r="H261" s="11" t="s">
        <v>109</v>
      </c>
      <c r="I261" s="12">
        <v>0.25</v>
      </c>
      <c r="J261" s="11"/>
      <c r="K261" s="11" t="s">
        <v>725</v>
      </c>
      <c r="L261" s="11" t="s">
        <v>34</v>
      </c>
      <c r="M261" s="13" t="s">
        <v>306</v>
      </c>
    </row>
    <row r="262" spans="1:13" x14ac:dyDescent="0.3">
      <c r="A262" s="11" t="s">
        <v>726</v>
      </c>
      <c r="B262" s="11" t="s">
        <v>667</v>
      </c>
      <c r="C262" s="11" t="s">
        <v>701</v>
      </c>
      <c r="D262" s="11" t="s">
        <v>716</v>
      </c>
      <c r="E262" s="11"/>
      <c r="F262" s="11" t="s">
        <v>37</v>
      </c>
      <c r="G262" s="11" t="s">
        <v>121</v>
      </c>
      <c r="H262" s="11" t="s">
        <v>109</v>
      </c>
      <c r="I262" s="12">
        <v>0.25</v>
      </c>
      <c r="J262" s="11"/>
      <c r="K262" s="11" t="s">
        <v>727</v>
      </c>
      <c r="L262" s="11" t="s">
        <v>34</v>
      </c>
      <c r="M262" s="13" t="s">
        <v>306</v>
      </c>
    </row>
    <row r="263" spans="1:13" x14ac:dyDescent="0.3">
      <c r="A263" s="11" t="s">
        <v>728</v>
      </c>
      <c r="B263" s="11" t="s">
        <v>667</v>
      </c>
      <c r="C263" s="11" t="s">
        <v>701</v>
      </c>
      <c r="D263" s="11" t="s">
        <v>729</v>
      </c>
      <c r="E263" s="11"/>
      <c r="F263" s="11" t="s">
        <v>37</v>
      </c>
      <c r="G263" s="11" t="s">
        <v>115</v>
      </c>
      <c r="H263" s="11" t="s">
        <v>109</v>
      </c>
      <c r="I263" s="12">
        <v>0.45</v>
      </c>
      <c r="J263" s="11"/>
      <c r="K263" s="11" t="s">
        <v>730</v>
      </c>
      <c r="L263" s="11" t="s">
        <v>34</v>
      </c>
      <c r="M263" s="13"/>
    </row>
    <row r="264" spans="1:13" x14ac:dyDescent="0.3">
      <c r="A264" s="11" t="s">
        <v>731</v>
      </c>
      <c r="B264" s="11" t="s">
        <v>667</v>
      </c>
      <c r="C264" s="11" t="s">
        <v>701</v>
      </c>
      <c r="D264" s="11" t="s">
        <v>729</v>
      </c>
      <c r="E264" s="11"/>
      <c r="F264" s="11" t="s">
        <v>37</v>
      </c>
      <c r="G264" s="11" t="s">
        <v>118</v>
      </c>
      <c r="H264" s="11" t="s">
        <v>109</v>
      </c>
      <c r="I264" s="12">
        <v>0.25</v>
      </c>
      <c r="J264" s="11"/>
      <c r="K264" s="11" t="s">
        <v>732</v>
      </c>
      <c r="L264" s="11" t="s">
        <v>34</v>
      </c>
      <c r="M264" s="13"/>
    </row>
    <row r="265" spans="1:13" x14ac:dyDescent="0.3">
      <c r="A265" s="11" t="s">
        <v>733</v>
      </c>
      <c r="B265" s="11" t="s">
        <v>667</v>
      </c>
      <c r="C265" s="11" t="s">
        <v>701</v>
      </c>
      <c r="D265" s="11" t="s">
        <v>729</v>
      </c>
      <c r="E265" s="11"/>
      <c r="F265" s="11" t="s">
        <v>37</v>
      </c>
      <c r="G265" s="11" t="s">
        <v>121</v>
      </c>
      <c r="H265" s="11" t="s">
        <v>109</v>
      </c>
      <c r="I265" s="12">
        <v>0.25</v>
      </c>
      <c r="J265" s="11"/>
      <c r="K265" s="11" t="s">
        <v>734</v>
      </c>
      <c r="L265" s="11" t="s">
        <v>34</v>
      </c>
      <c r="M265" s="13"/>
    </row>
    <row r="266" spans="1:13" x14ac:dyDescent="0.3">
      <c r="A266" s="11" t="s">
        <v>735</v>
      </c>
      <c r="B266" s="11" t="s">
        <v>667</v>
      </c>
      <c r="C266" s="11" t="s">
        <v>701</v>
      </c>
      <c r="D266" s="11" t="s">
        <v>729</v>
      </c>
      <c r="E266" s="11"/>
      <c r="F266" s="11" t="s">
        <v>129</v>
      </c>
      <c r="G266" s="11" t="s">
        <v>371</v>
      </c>
      <c r="H266" s="11" t="s">
        <v>142</v>
      </c>
      <c r="I266" s="12">
        <v>0.45</v>
      </c>
      <c r="J266" s="11"/>
      <c r="K266" s="11" t="s">
        <v>736</v>
      </c>
      <c r="L266" s="11" t="s">
        <v>34</v>
      </c>
      <c r="M266" s="13"/>
    </row>
    <row r="267" spans="1:13" x14ac:dyDescent="0.3">
      <c r="A267" s="11" t="s">
        <v>737</v>
      </c>
      <c r="B267" s="11" t="s">
        <v>667</v>
      </c>
      <c r="C267" s="11" t="s">
        <v>701</v>
      </c>
      <c r="D267" s="11" t="s">
        <v>729</v>
      </c>
      <c r="E267" s="11"/>
      <c r="F267" s="11" t="s">
        <v>129</v>
      </c>
      <c r="G267" s="11" t="s">
        <v>118</v>
      </c>
      <c r="H267" s="11" t="s">
        <v>146</v>
      </c>
      <c r="I267" s="12">
        <v>0.25</v>
      </c>
      <c r="J267" s="11"/>
      <c r="K267" s="11" t="s">
        <v>738</v>
      </c>
      <c r="L267" s="11" t="s">
        <v>34</v>
      </c>
      <c r="M267" s="13"/>
    </row>
    <row r="268" spans="1:13" x14ac:dyDescent="0.3">
      <c r="A268" s="11" t="s">
        <v>739</v>
      </c>
      <c r="B268" s="11" t="s">
        <v>667</v>
      </c>
      <c r="C268" s="11" t="s">
        <v>701</v>
      </c>
      <c r="D268" s="11" t="s">
        <v>729</v>
      </c>
      <c r="E268" s="11"/>
      <c r="F268" s="11" t="s">
        <v>129</v>
      </c>
      <c r="G268" s="11" t="s">
        <v>145</v>
      </c>
      <c r="H268" s="11" t="s">
        <v>146</v>
      </c>
      <c r="I268" s="12">
        <v>0.22</v>
      </c>
      <c r="J268" s="11"/>
      <c r="K268" s="11" t="s">
        <v>740</v>
      </c>
      <c r="L268" s="11" t="s">
        <v>34</v>
      </c>
      <c r="M268" s="13"/>
    </row>
    <row r="269" spans="1:13" x14ac:dyDescent="0.3">
      <c r="A269" s="11" t="s">
        <v>741</v>
      </c>
      <c r="B269" s="11" t="s">
        <v>667</v>
      </c>
      <c r="C269" s="11" t="s">
        <v>701</v>
      </c>
      <c r="D269" s="11" t="s">
        <v>742</v>
      </c>
      <c r="E269" s="11"/>
      <c r="F269" s="11" t="s">
        <v>129</v>
      </c>
      <c r="G269" s="11" t="s">
        <v>133</v>
      </c>
      <c r="H269" s="11"/>
      <c r="I269" s="12">
        <v>0.7</v>
      </c>
      <c r="J269" s="11"/>
      <c r="K269" s="11" t="s">
        <v>743</v>
      </c>
      <c r="L269" s="11" t="s">
        <v>34</v>
      </c>
      <c r="M269" s="13"/>
    </row>
    <row r="270" spans="1:13" x14ac:dyDescent="0.3">
      <c r="A270" s="11" t="s">
        <v>744</v>
      </c>
      <c r="B270" s="11" t="s">
        <v>667</v>
      </c>
      <c r="C270" s="11" t="s">
        <v>701</v>
      </c>
      <c r="D270" s="11" t="s">
        <v>742</v>
      </c>
      <c r="E270" s="11"/>
      <c r="F270" s="11" t="s">
        <v>129</v>
      </c>
      <c r="G270" s="11" t="s">
        <v>136</v>
      </c>
      <c r="H270" s="11"/>
      <c r="I270" s="12">
        <v>0.6</v>
      </c>
      <c r="J270" s="11"/>
      <c r="K270" s="11" t="s">
        <v>745</v>
      </c>
      <c r="L270" s="11" t="s">
        <v>34</v>
      </c>
      <c r="M270" s="13"/>
    </row>
    <row r="271" spans="1:13" x14ac:dyDescent="0.3">
      <c r="A271" s="11" t="s">
        <v>746</v>
      </c>
      <c r="B271" s="11" t="s">
        <v>667</v>
      </c>
      <c r="C271" s="11" t="s">
        <v>701</v>
      </c>
      <c r="D271" s="11" t="s">
        <v>742</v>
      </c>
      <c r="E271" s="11"/>
      <c r="F271" s="11" t="s">
        <v>129</v>
      </c>
      <c r="G271" s="11" t="s">
        <v>139</v>
      </c>
      <c r="H271" s="11"/>
      <c r="I271" s="12">
        <v>0.6</v>
      </c>
      <c r="J271" s="11"/>
      <c r="K271" s="11" t="s">
        <v>747</v>
      </c>
      <c r="L271" s="11" t="s">
        <v>34</v>
      </c>
      <c r="M271" s="13"/>
    </row>
    <row r="272" spans="1:13" x14ac:dyDescent="0.3">
      <c r="A272" s="11" t="s">
        <v>748</v>
      </c>
      <c r="B272" s="11" t="s">
        <v>667</v>
      </c>
      <c r="C272" s="11" t="s">
        <v>701</v>
      </c>
      <c r="D272" s="11" t="s">
        <v>749</v>
      </c>
      <c r="E272" s="11"/>
      <c r="F272" s="11" t="s">
        <v>37</v>
      </c>
      <c r="G272" s="11" t="s">
        <v>703</v>
      </c>
      <c r="H272" s="11" t="s">
        <v>57</v>
      </c>
      <c r="I272" s="12">
        <v>0.51</v>
      </c>
      <c r="J272" s="11"/>
      <c r="K272" s="11" t="s">
        <v>750</v>
      </c>
      <c r="L272" s="11" t="s">
        <v>34</v>
      </c>
      <c r="M272" s="13"/>
    </row>
    <row r="273" spans="1:13" x14ac:dyDescent="0.3">
      <c r="A273" s="11" t="s">
        <v>751</v>
      </c>
      <c r="B273" s="11" t="s">
        <v>667</v>
      </c>
      <c r="C273" s="11" t="s">
        <v>701</v>
      </c>
      <c r="D273" s="11" t="s">
        <v>749</v>
      </c>
      <c r="E273" s="11"/>
      <c r="F273" s="11" t="s">
        <v>37</v>
      </c>
      <c r="G273" s="11" t="s">
        <v>108</v>
      </c>
      <c r="H273" s="11" t="s">
        <v>109</v>
      </c>
      <c r="I273" s="12">
        <v>0.51</v>
      </c>
      <c r="J273" s="11"/>
      <c r="K273" s="11" t="s">
        <v>752</v>
      </c>
      <c r="L273" s="11" t="s">
        <v>34</v>
      </c>
      <c r="M273" s="13"/>
    </row>
    <row r="274" spans="1:13" x14ac:dyDescent="0.3">
      <c r="A274" s="11" t="s">
        <v>753</v>
      </c>
      <c r="B274" s="11" t="s">
        <v>667</v>
      </c>
      <c r="C274" s="11" t="s">
        <v>701</v>
      </c>
      <c r="D274" s="11" t="s">
        <v>749</v>
      </c>
      <c r="E274" s="11"/>
      <c r="F274" s="11" t="s">
        <v>37</v>
      </c>
      <c r="G274" s="11" t="s">
        <v>112</v>
      </c>
      <c r="H274" s="11" t="s">
        <v>109</v>
      </c>
      <c r="I274" s="12">
        <v>0.45</v>
      </c>
      <c r="J274" s="11"/>
      <c r="K274" s="11" t="s">
        <v>754</v>
      </c>
      <c r="L274" s="11" t="s">
        <v>34</v>
      </c>
      <c r="M274" s="13"/>
    </row>
    <row r="275" spans="1:13" x14ac:dyDescent="0.3">
      <c r="A275" s="11" t="s">
        <v>755</v>
      </c>
      <c r="B275" s="11" t="s">
        <v>667</v>
      </c>
      <c r="C275" s="11" t="s">
        <v>701</v>
      </c>
      <c r="D275" s="11" t="s">
        <v>749</v>
      </c>
      <c r="E275" s="11"/>
      <c r="F275" s="11" t="s">
        <v>37</v>
      </c>
      <c r="G275" s="11" t="s">
        <v>115</v>
      </c>
      <c r="H275" s="11" t="s">
        <v>109</v>
      </c>
      <c r="I275" s="12">
        <v>0.45</v>
      </c>
      <c r="J275" s="11"/>
      <c r="K275" s="11" t="s">
        <v>756</v>
      </c>
      <c r="L275" s="11" t="s">
        <v>34</v>
      </c>
      <c r="M275" s="13"/>
    </row>
    <row r="276" spans="1:13" x14ac:dyDescent="0.3">
      <c r="A276" s="11" t="s">
        <v>757</v>
      </c>
      <c r="B276" s="11" t="s">
        <v>667</v>
      </c>
      <c r="C276" s="11" t="s">
        <v>701</v>
      </c>
      <c r="D276" s="11" t="s">
        <v>749</v>
      </c>
      <c r="E276" s="11"/>
      <c r="F276" s="11" t="s">
        <v>37</v>
      </c>
      <c r="G276" s="11" t="s">
        <v>118</v>
      </c>
      <c r="H276" s="11" t="s">
        <v>109</v>
      </c>
      <c r="I276" s="12">
        <v>0.25</v>
      </c>
      <c r="J276" s="11"/>
      <c r="K276" s="11" t="s">
        <v>758</v>
      </c>
      <c r="L276" s="11" t="s">
        <v>34</v>
      </c>
      <c r="M276" s="13"/>
    </row>
    <row r="277" spans="1:13" x14ac:dyDescent="0.3">
      <c r="A277" s="11" t="s">
        <v>759</v>
      </c>
      <c r="B277" s="11" t="s">
        <v>667</v>
      </c>
      <c r="C277" s="11" t="s">
        <v>701</v>
      </c>
      <c r="D277" s="11" t="s">
        <v>749</v>
      </c>
      <c r="E277" s="11"/>
      <c r="F277" s="11" t="s">
        <v>37</v>
      </c>
      <c r="G277" s="11" t="s">
        <v>121</v>
      </c>
      <c r="H277" s="11" t="s">
        <v>109</v>
      </c>
      <c r="I277" s="12">
        <v>0.25</v>
      </c>
      <c r="J277" s="11"/>
      <c r="K277" s="11" t="s">
        <v>760</v>
      </c>
      <c r="L277" s="11" t="s">
        <v>34</v>
      </c>
      <c r="M277" s="13"/>
    </row>
    <row r="278" spans="1:13" x14ac:dyDescent="0.3">
      <c r="A278" s="11" t="s">
        <v>761</v>
      </c>
      <c r="B278" s="11" t="s">
        <v>667</v>
      </c>
      <c r="C278" s="11" t="s">
        <v>701</v>
      </c>
      <c r="D278" s="11" t="s">
        <v>762</v>
      </c>
      <c r="E278" s="11"/>
      <c r="F278" s="11" t="s">
        <v>37</v>
      </c>
      <c r="G278" s="11" t="s">
        <v>703</v>
      </c>
      <c r="H278" s="11" t="s">
        <v>57</v>
      </c>
      <c r="I278" s="12">
        <v>3.07</v>
      </c>
      <c r="J278" s="11"/>
      <c r="K278" s="11" t="s">
        <v>763</v>
      </c>
      <c r="L278" s="11" t="s">
        <v>34</v>
      </c>
      <c r="M278" s="13" t="s">
        <v>306</v>
      </c>
    </row>
    <row r="279" spans="1:13" x14ac:dyDescent="0.3">
      <c r="A279" s="11" t="s">
        <v>764</v>
      </c>
      <c r="B279" s="11" t="s">
        <v>667</v>
      </c>
      <c r="C279" s="11" t="s">
        <v>701</v>
      </c>
      <c r="D279" s="11" t="s">
        <v>762</v>
      </c>
      <c r="E279" s="11"/>
      <c r="F279" s="11" t="s">
        <v>37</v>
      </c>
      <c r="G279" s="11" t="s">
        <v>108</v>
      </c>
      <c r="H279" s="11" t="s">
        <v>109</v>
      </c>
      <c r="I279" s="12">
        <v>0.57999999999999996</v>
      </c>
      <c r="J279" s="11"/>
      <c r="K279" s="11" t="s">
        <v>765</v>
      </c>
      <c r="L279" s="11" t="s">
        <v>34</v>
      </c>
      <c r="M279" s="13" t="s">
        <v>306</v>
      </c>
    </row>
    <row r="280" spans="1:13" x14ac:dyDescent="0.3">
      <c r="A280" s="11" t="s">
        <v>766</v>
      </c>
      <c r="B280" s="11" t="s">
        <v>667</v>
      </c>
      <c r="C280" s="11" t="s">
        <v>701</v>
      </c>
      <c r="D280" s="11" t="s">
        <v>762</v>
      </c>
      <c r="E280" s="11"/>
      <c r="F280" s="11" t="s">
        <v>37</v>
      </c>
      <c r="G280" s="11" t="s">
        <v>112</v>
      </c>
      <c r="H280" s="11" t="s">
        <v>109</v>
      </c>
      <c r="I280" s="12">
        <v>0.45</v>
      </c>
      <c r="J280" s="11"/>
      <c r="K280" s="11" t="s">
        <v>767</v>
      </c>
      <c r="L280" s="11" t="s">
        <v>34</v>
      </c>
      <c r="M280" s="13" t="s">
        <v>306</v>
      </c>
    </row>
    <row r="281" spans="1:13" x14ac:dyDescent="0.3">
      <c r="A281" s="11" t="s">
        <v>768</v>
      </c>
      <c r="B281" s="11" t="s">
        <v>667</v>
      </c>
      <c r="C281" s="11" t="s">
        <v>701</v>
      </c>
      <c r="D281" s="11" t="s">
        <v>762</v>
      </c>
      <c r="E281" s="11"/>
      <c r="F281" s="11" t="s">
        <v>37</v>
      </c>
      <c r="G281" s="11" t="s">
        <v>115</v>
      </c>
      <c r="H281" s="11" t="s">
        <v>109</v>
      </c>
      <c r="I281" s="12">
        <v>0.45</v>
      </c>
      <c r="J281" s="11"/>
      <c r="K281" s="11" t="s">
        <v>769</v>
      </c>
      <c r="L281" s="11" t="s">
        <v>34</v>
      </c>
      <c r="M281" s="13" t="s">
        <v>306</v>
      </c>
    </row>
    <row r="282" spans="1:13" x14ac:dyDescent="0.3">
      <c r="A282" s="11" t="s">
        <v>770</v>
      </c>
      <c r="B282" s="11" t="s">
        <v>667</v>
      </c>
      <c r="C282" s="11" t="s">
        <v>701</v>
      </c>
      <c r="D282" s="11" t="s">
        <v>762</v>
      </c>
      <c r="E282" s="11"/>
      <c r="F282" s="11" t="s">
        <v>37</v>
      </c>
      <c r="G282" s="11" t="s">
        <v>118</v>
      </c>
      <c r="H282" s="11" t="s">
        <v>109</v>
      </c>
      <c r="I282" s="12">
        <v>0.25</v>
      </c>
      <c r="J282" s="11"/>
      <c r="K282" s="11" t="s">
        <v>771</v>
      </c>
      <c r="L282" s="11" t="s">
        <v>34</v>
      </c>
      <c r="M282" s="13" t="s">
        <v>306</v>
      </c>
    </row>
    <row r="283" spans="1:13" x14ac:dyDescent="0.3">
      <c r="A283" s="11" t="s">
        <v>772</v>
      </c>
      <c r="B283" s="11" t="s">
        <v>667</v>
      </c>
      <c r="C283" s="11" t="s">
        <v>701</v>
      </c>
      <c r="D283" s="11" t="s">
        <v>762</v>
      </c>
      <c r="E283" s="11"/>
      <c r="F283" s="11" t="s">
        <v>37</v>
      </c>
      <c r="G283" s="11" t="s">
        <v>121</v>
      </c>
      <c r="H283" s="11" t="s">
        <v>109</v>
      </c>
      <c r="I283" s="12">
        <v>0.25</v>
      </c>
      <c r="J283" s="11"/>
      <c r="K283" s="11" t="s">
        <v>773</v>
      </c>
      <c r="L283" s="11" t="s">
        <v>34</v>
      </c>
      <c r="M283" s="13" t="s">
        <v>306</v>
      </c>
    </row>
    <row r="284" spans="1:13" x14ac:dyDescent="0.3">
      <c r="A284" s="11" t="s">
        <v>774</v>
      </c>
      <c r="B284" s="11" t="s">
        <v>667</v>
      </c>
      <c r="C284" s="11" t="s">
        <v>701</v>
      </c>
      <c r="D284" s="11" t="s">
        <v>775</v>
      </c>
      <c r="E284" s="11"/>
      <c r="F284" s="11" t="s">
        <v>37</v>
      </c>
      <c r="G284" s="11" t="s">
        <v>776</v>
      </c>
      <c r="H284" s="11"/>
      <c r="I284" s="12">
        <v>0.57999999999999996</v>
      </c>
      <c r="J284" s="11"/>
      <c r="K284" s="11" t="s">
        <v>777</v>
      </c>
      <c r="L284" s="11" t="s">
        <v>34</v>
      </c>
      <c r="M284" s="13"/>
    </row>
    <row r="285" spans="1:13" x14ac:dyDescent="0.3">
      <c r="A285" s="11" t="s">
        <v>778</v>
      </c>
      <c r="B285" s="11" t="s">
        <v>667</v>
      </c>
      <c r="C285" s="11" t="s">
        <v>701</v>
      </c>
      <c r="D285" s="11" t="s">
        <v>775</v>
      </c>
      <c r="E285" s="11"/>
      <c r="F285" s="11" t="s">
        <v>37</v>
      </c>
      <c r="G285" s="11" t="s">
        <v>112</v>
      </c>
      <c r="H285" s="11" t="s">
        <v>109</v>
      </c>
      <c r="I285" s="12">
        <v>0.45</v>
      </c>
      <c r="J285" s="11"/>
      <c r="K285" s="11" t="s">
        <v>779</v>
      </c>
      <c r="L285" s="11" t="s">
        <v>34</v>
      </c>
      <c r="M285" s="13"/>
    </row>
    <row r="286" spans="1:13" x14ac:dyDescent="0.3">
      <c r="A286" s="11" t="s">
        <v>780</v>
      </c>
      <c r="B286" s="11" t="s">
        <v>667</v>
      </c>
      <c r="C286" s="11" t="s">
        <v>701</v>
      </c>
      <c r="D286" s="11" t="s">
        <v>775</v>
      </c>
      <c r="E286" s="11"/>
      <c r="F286" s="11" t="s">
        <v>37</v>
      </c>
      <c r="G286" s="11" t="s">
        <v>115</v>
      </c>
      <c r="H286" s="11" t="s">
        <v>109</v>
      </c>
      <c r="I286" s="12">
        <v>0.45</v>
      </c>
      <c r="J286" s="11"/>
      <c r="K286" s="11" t="s">
        <v>781</v>
      </c>
      <c r="L286" s="11" t="s">
        <v>34</v>
      </c>
      <c r="M286" s="13"/>
    </row>
    <row r="287" spans="1:13" x14ac:dyDescent="0.3">
      <c r="A287" s="11" t="s">
        <v>782</v>
      </c>
      <c r="B287" s="11" t="s">
        <v>667</v>
      </c>
      <c r="C287" s="11" t="s">
        <v>701</v>
      </c>
      <c r="D287" s="11" t="s">
        <v>775</v>
      </c>
      <c r="E287" s="11"/>
      <c r="F287" s="11" t="s">
        <v>37</v>
      </c>
      <c r="G287" s="11" t="s">
        <v>118</v>
      </c>
      <c r="H287" s="11" t="s">
        <v>109</v>
      </c>
      <c r="I287" s="12">
        <v>0.25</v>
      </c>
      <c r="J287" s="11"/>
      <c r="K287" s="11" t="s">
        <v>783</v>
      </c>
      <c r="L287" s="11" t="s">
        <v>34</v>
      </c>
      <c r="M287" s="13"/>
    </row>
    <row r="288" spans="1:13" x14ac:dyDescent="0.3">
      <c r="A288" s="11" t="s">
        <v>784</v>
      </c>
      <c r="B288" s="11" t="s">
        <v>667</v>
      </c>
      <c r="C288" s="11" t="s">
        <v>701</v>
      </c>
      <c r="D288" s="11" t="s">
        <v>775</v>
      </c>
      <c r="E288" s="11"/>
      <c r="F288" s="11" t="s">
        <v>37</v>
      </c>
      <c r="G288" s="11" t="s">
        <v>121</v>
      </c>
      <c r="H288" s="11" t="s">
        <v>109</v>
      </c>
      <c r="I288" s="12">
        <v>0.25</v>
      </c>
      <c r="J288" s="11"/>
      <c r="K288" s="11" t="s">
        <v>785</v>
      </c>
      <c r="L288" s="11" t="s">
        <v>34</v>
      </c>
      <c r="M288" s="13"/>
    </row>
    <row r="289" spans="1:13" x14ac:dyDescent="0.3">
      <c r="A289" s="11" t="s">
        <v>786</v>
      </c>
      <c r="B289" s="11" t="s">
        <v>667</v>
      </c>
      <c r="C289" s="11" t="s">
        <v>701</v>
      </c>
      <c r="D289" s="11" t="s">
        <v>775</v>
      </c>
      <c r="E289" s="11"/>
      <c r="F289" s="11" t="s">
        <v>124</v>
      </c>
      <c r="G289" s="11" t="s">
        <v>125</v>
      </c>
      <c r="H289" s="11" t="s">
        <v>126</v>
      </c>
      <c r="I289" s="12">
        <v>0.22</v>
      </c>
      <c r="J289" s="11"/>
      <c r="K289" s="11" t="s">
        <v>787</v>
      </c>
      <c r="L289" s="11" t="s">
        <v>34</v>
      </c>
      <c r="M289" s="13"/>
    </row>
    <row r="290" spans="1:13" x14ac:dyDescent="0.3">
      <c r="A290" s="11" t="s">
        <v>788</v>
      </c>
      <c r="B290" s="11" t="s">
        <v>667</v>
      </c>
      <c r="C290" s="11" t="s">
        <v>701</v>
      </c>
      <c r="D290" s="11" t="s">
        <v>775</v>
      </c>
      <c r="E290" s="11"/>
      <c r="F290" s="11" t="s">
        <v>129</v>
      </c>
      <c r="G290" s="11" t="s">
        <v>130</v>
      </c>
      <c r="H290" s="11"/>
      <c r="I290" s="12">
        <v>0.57999999999999996</v>
      </c>
      <c r="J290" s="11"/>
      <c r="K290" s="11" t="s">
        <v>789</v>
      </c>
      <c r="L290" s="11" t="s">
        <v>34</v>
      </c>
      <c r="M290" s="13"/>
    </row>
    <row r="291" spans="1:13" x14ac:dyDescent="0.3">
      <c r="A291" s="11" t="s">
        <v>790</v>
      </c>
      <c r="B291" s="11" t="s">
        <v>667</v>
      </c>
      <c r="C291" s="11" t="s">
        <v>701</v>
      </c>
      <c r="D291" s="11" t="s">
        <v>775</v>
      </c>
      <c r="E291" s="11"/>
      <c r="F291" s="11" t="s">
        <v>129</v>
      </c>
      <c r="G291" s="11" t="s">
        <v>133</v>
      </c>
      <c r="H291" s="11"/>
      <c r="I291" s="12">
        <v>0.57999999999999996</v>
      </c>
      <c r="J291" s="11"/>
      <c r="K291" s="11" t="s">
        <v>791</v>
      </c>
      <c r="L291" s="11" t="s">
        <v>34</v>
      </c>
      <c r="M291" s="13"/>
    </row>
    <row r="292" spans="1:13" x14ac:dyDescent="0.3">
      <c r="A292" s="11" t="s">
        <v>792</v>
      </c>
      <c r="B292" s="11" t="s">
        <v>667</v>
      </c>
      <c r="C292" s="11" t="s">
        <v>701</v>
      </c>
      <c r="D292" s="11" t="s">
        <v>775</v>
      </c>
      <c r="E292" s="11"/>
      <c r="F292" s="11" t="s">
        <v>129</v>
      </c>
      <c r="G292" s="11" t="s">
        <v>136</v>
      </c>
      <c r="H292" s="11"/>
      <c r="I292" s="12">
        <v>0.45</v>
      </c>
      <c r="J292" s="11"/>
      <c r="K292" s="11" t="s">
        <v>793</v>
      </c>
      <c r="L292" s="11" t="s">
        <v>34</v>
      </c>
      <c r="M292" s="13"/>
    </row>
    <row r="293" spans="1:13" x14ac:dyDescent="0.3">
      <c r="A293" s="11" t="s">
        <v>794</v>
      </c>
      <c r="B293" s="11" t="s">
        <v>667</v>
      </c>
      <c r="C293" s="11" t="s">
        <v>701</v>
      </c>
      <c r="D293" s="11" t="s">
        <v>775</v>
      </c>
      <c r="E293" s="11"/>
      <c r="F293" s="11" t="s">
        <v>129</v>
      </c>
      <c r="G293" s="11" t="s">
        <v>139</v>
      </c>
      <c r="H293" s="11"/>
      <c r="I293" s="12">
        <v>0.45</v>
      </c>
      <c r="J293" s="11"/>
      <c r="K293" s="11" t="s">
        <v>795</v>
      </c>
      <c r="L293" s="11" t="s">
        <v>34</v>
      </c>
      <c r="M293" s="13"/>
    </row>
    <row r="294" spans="1:13" x14ac:dyDescent="0.3">
      <c r="A294" s="11" t="s">
        <v>796</v>
      </c>
      <c r="B294" s="11" t="s">
        <v>667</v>
      </c>
      <c r="C294" s="11" t="s">
        <v>701</v>
      </c>
      <c r="D294" s="11" t="s">
        <v>775</v>
      </c>
      <c r="E294" s="11"/>
      <c r="F294" s="11" t="s">
        <v>129</v>
      </c>
      <c r="G294" s="11" t="s">
        <v>175</v>
      </c>
      <c r="H294" s="11"/>
      <c r="I294" s="12">
        <v>0.25</v>
      </c>
      <c r="J294" s="11"/>
      <c r="K294" s="11" t="s">
        <v>797</v>
      </c>
      <c r="L294" s="11" t="s">
        <v>34</v>
      </c>
      <c r="M294" s="13"/>
    </row>
    <row r="295" spans="1:13" x14ac:dyDescent="0.3">
      <c r="A295" s="11" t="s">
        <v>798</v>
      </c>
      <c r="B295" s="11" t="s">
        <v>667</v>
      </c>
      <c r="C295" s="11" t="s">
        <v>701</v>
      </c>
      <c r="D295" s="11" t="s">
        <v>775</v>
      </c>
      <c r="E295" s="11"/>
      <c r="F295" s="11" t="s">
        <v>129</v>
      </c>
      <c r="G295" s="11" t="s">
        <v>799</v>
      </c>
      <c r="H295" s="11"/>
      <c r="I295" s="12">
        <v>0.57999999999999996</v>
      </c>
      <c r="J295" s="11"/>
      <c r="K295" s="11" t="s">
        <v>800</v>
      </c>
      <c r="L295" s="11" t="s">
        <v>34</v>
      </c>
      <c r="M295" s="13"/>
    </row>
    <row r="296" spans="1:13" x14ac:dyDescent="0.3">
      <c r="A296" s="11" t="s">
        <v>801</v>
      </c>
      <c r="B296" s="11" t="s">
        <v>667</v>
      </c>
      <c r="C296" s="11" t="s">
        <v>802</v>
      </c>
      <c r="D296" s="11" t="s">
        <v>803</v>
      </c>
      <c r="E296" s="11"/>
      <c r="F296" s="11" t="s">
        <v>31</v>
      </c>
      <c r="G296" s="11" t="s">
        <v>50</v>
      </c>
      <c r="H296" s="11"/>
      <c r="I296" s="12">
        <v>1.4</v>
      </c>
      <c r="J296" s="11"/>
      <c r="K296" s="11" t="s">
        <v>804</v>
      </c>
      <c r="L296" s="11" t="s">
        <v>34</v>
      </c>
      <c r="M296" s="13" t="s">
        <v>306</v>
      </c>
    </row>
    <row r="297" spans="1:13" x14ac:dyDescent="0.3">
      <c r="A297" s="11" t="s">
        <v>805</v>
      </c>
      <c r="B297" s="11" t="s">
        <v>667</v>
      </c>
      <c r="C297" s="11" t="s">
        <v>802</v>
      </c>
      <c r="D297" s="11" t="s">
        <v>806</v>
      </c>
      <c r="E297" s="11"/>
      <c r="F297" s="11" t="s">
        <v>31</v>
      </c>
      <c r="G297" s="11" t="s">
        <v>57</v>
      </c>
      <c r="H297" s="11"/>
      <c r="I297" s="12">
        <v>1</v>
      </c>
      <c r="J297" s="11"/>
      <c r="K297" s="11" t="s">
        <v>807</v>
      </c>
      <c r="L297" s="11" t="s">
        <v>34</v>
      </c>
      <c r="M297" s="13"/>
    </row>
    <row r="298" spans="1:13" x14ac:dyDescent="0.3">
      <c r="A298" s="11" t="s">
        <v>808</v>
      </c>
      <c r="B298" s="11" t="s">
        <v>667</v>
      </c>
      <c r="C298" s="11" t="s">
        <v>802</v>
      </c>
      <c r="D298" s="11" t="s">
        <v>809</v>
      </c>
      <c r="E298" s="11"/>
      <c r="F298" s="11" t="s">
        <v>31</v>
      </c>
      <c r="G298" s="11" t="s">
        <v>63</v>
      </c>
      <c r="H298" s="11"/>
      <c r="I298" s="12">
        <v>0.6</v>
      </c>
      <c r="J298" s="11"/>
      <c r="K298" s="11" t="s">
        <v>810</v>
      </c>
      <c r="L298" s="11" t="s">
        <v>34</v>
      </c>
      <c r="M298" s="13" t="s">
        <v>306</v>
      </c>
    </row>
    <row r="299" spans="1:13" x14ac:dyDescent="0.3">
      <c r="A299" s="11" t="s">
        <v>811</v>
      </c>
      <c r="B299" s="11" t="s">
        <v>667</v>
      </c>
      <c r="C299" s="11" t="s">
        <v>802</v>
      </c>
      <c r="D299" s="11" t="s">
        <v>809</v>
      </c>
      <c r="E299" s="11"/>
      <c r="F299" s="11" t="s">
        <v>31</v>
      </c>
      <c r="G299" s="11" t="s">
        <v>57</v>
      </c>
      <c r="H299" s="11"/>
      <c r="I299" s="12">
        <v>1.4</v>
      </c>
      <c r="J299" s="11"/>
      <c r="K299" s="11" t="s">
        <v>812</v>
      </c>
      <c r="L299" s="11" t="s">
        <v>34</v>
      </c>
      <c r="M299" s="13" t="s">
        <v>306</v>
      </c>
    </row>
    <row r="300" spans="1:13" x14ac:dyDescent="0.3">
      <c r="A300" s="11" t="s">
        <v>813</v>
      </c>
      <c r="B300" s="11" t="s">
        <v>667</v>
      </c>
      <c r="C300" s="11" t="s">
        <v>802</v>
      </c>
      <c r="D300" s="11" t="s">
        <v>814</v>
      </c>
      <c r="E300" s="11"/>
      <c r="F300" s="11" t="s">
        <v>31</v>
      </c>
      <c r="G300" s="11" t="s">
        <v>815</v>
      </c>
      <c r="H300" s="11"/>
      <c r="I300" s="12">
        <v>1</v>
      </c>
      <c r="J300" s="11"/>
      <c r="K300" s="11" t="s">
        <v>816</v>
      </c>
      <c r="L300" s="11" t="s">
        <v>34</v>
      </c>
      <c r="M300" s="13"/>
    </row>
    <row r="301" spans="1:13" x14ac:dyDescent="0.3">
      <c r="A301" s="11" t="s">
        <v>817</v>
      </c>
      <c r="B301" s="11" t="s">
        <v>667</v>
      </c>
      <c r="C301" s="11" t="s">
        <v>802</v>
      </c>
      <c r="D301" s="11" t="s">
        <v>818</v>
      </c>
      <c r="E301" s="11"/>
      <c r="F301" s="11" t="s">
        <v>31</v>
      </c>
      <c r="G301" s="11" t="s">
        <v>819</v>
      </c>
      <c r="H301" s="11"/>
      <c r="I301" s="12">
        <v>1.23</v>
      </c>
      <c r="J301" s="11"/>
      <c r="K301" s="11" t="s">
        <v>820</v>
      </c>
      <c r="L301" s="11" t="s">
        <v>34</v>
      </c>
      <c r="M301" s="13"/>
    </row>
    <row r="302" spans="1:13" x14ac:dyDescent="0.3">
      <c r="A302" s="11" t="s">
        <v>821</v>
      </c>
      <c r="B302" s="11" t="s">
        <v>667</v>
      </c>
      <c r="C302" s="11" t="s">
        <v>802</v>
      </c>
      <c r="D302" s="11" t="s">
        <v>822</v>
      </c>
      <c r="E302" s="11"/>
      <c r="F302" s="11" t="s">
        <v>31</v>
      </c>
      <c r="G302" s="11" t="s">
        <v>50</v>
      </c>
      <c r="H302" s="11"/>
      <c r="I302" s="12">
        <v>1.4</v>
      </c>
      <c r="J302" s="11"/>
      <c r="K302" s="11" t="s">
        <v>823</v>
      </c>
      <c r="L302" s="11" t="s">
        <v>34</v>
      </c>
      <c r="M302" s="13" t="s">
        <v>306</v>
      </c>
    </row>
    <row r="303" spans="1:13" x14ac:dyDescent="0.3">
      <c r="A303" s="11" t="s">
        <v>824</v>
      </c>
      <c r="B303" s="11" t="s">
        <v>667</v>
      </c>
      <c r="C303" s="11" t="s">
        <v>802</v>
      </c>
      <c r="D303" s="11" t="s">
        <v>825</v>
      </c>
      <c r="E303" s="11"/>
      <c r="F303" s="11" t="s">
        <v>31</v>
      </c>
      <c r="G303" s="11" t="s">
        <v>63</v>
      </c>
      <c r="H303" s="11"/>
      <c r="I303" s="12">
        <v>0.6</v>
      </c>
      <c r="J303" s="11"/>
      <c r="K303" s="11" t="s">
        <v>826</v>
      </c>
      <c r="L303" s="11" t="s">
        <v>34</v>
      </c>
      <c r="M303" s="13"/>
    </row>
    <row r="304" spans="1:13" x14ac:dyDescent="0.3">
      <c r="A304" s="11" t="s">
        <v>827</v>
      </c>
      <c r="B304" s="11" t="s">
        <v>667</v>
      </c>
      <c r="C304" s="11" t="s">
        <v>802</v>
      </c>
      <c r="D304" s="11" t="s">
        <v>825</v>
      </c>
      <c r="E304" s="11"/>
      <c r="F304" s="11" t="s">
        <v>31</v>
      </c>
      <c r="G304" s="11" t="s">
        <v>57</v>
      </c>
      <c r="H304" s="11"/>
      <c r="I304" s="12">
        <v>1.4</v>
      </c>
      <c r="J304" s="11"/>
      <c r="K304" s="11" t="s">
        <v>828</v>
      </c>
      <c r="L304" s="11" t="s">
        <v>34</v>
      </c>
      <c r="M304" s="13"/>
    </row>
    <row r="305" spans="1:13" x14ac:dyDescent="0.3">
      <c r="A305" s="11" t="s">
        <v>829</v>
      </c>
      <c r="B305" s="11" t="s">
        <v>667</v>
      </c>
      <c r="C305" s="11" t="s">
        <v>802</v>
      </c>
      <c r="D305" s="11" t="s">
        <v>830</v>
      </c>
      <c r="E305" s="11"/>
      <c r="F305" s="11" t="s">
        <v>31</v>
      </c>
      <c r="G305" s="11" t="s">
        <v>63</v>
      </c>
      <c r="H305" s="11"/>
      <c r="I305" s="12">
        <v>0.6</v>
      </c>
      <c r="J305" s="11"/>
      <c r="K305" s="11" t="s">
        <v>831</v>
      </c>
      <c r="L305" s="11" t="s">
        <v>34</v>
      </c>
      <c r="M305" s="13" t="s">
        <v>306</v>
      </c>
    </row>
    <row r="306" spans="1:13" x14ac:dyDescent="0.3">
      <c r="A306" s="11" t="s">
        <v>832</v>
      </c>
      <c r="B306" s="11" t="s">
        <v>667</v>
      </c>
      <c r="C306" s="11" t="s">
        <v>802</v>
      </c>
      <c r="D306" s="11" t="s">
        <v>830</v>
      </c>
      <c r="E306" s="11"/>
      <c r="F306" s="11" t="s">
        <v>31</v>
      </c>
      <c r="G306" s="11" t="s">
        <v>57</v>
      </c>
      <c r="H306" s="11"/>
      <c r="I306" s="12">
        <v>1.4</v>
      </c>
      <c r="J306" s="11"/>
      <c r="K306" s="11" t="s">
        <v>833</v>
      </c>
      <c r="L306" s="11" t="s">
        <v>34</v>
      </c>
      <c r="M306" s="13" t="s">
        <v>306</v>
      </c>
    </row>
    <row r="307" spans="1:13" x14ac:dyDescent="0.3">
      <c r="A307" s="11" t="s">
        <v>834</v>
      </c>
      <c r="B307" s="11" t="s">
        <v>835</v>
      </c>
      <c r="C307" s="11" t="s">
        <v>836</v>
      </c>
      <c r="D307" s="11" t="s">
        <v>837</v>
      </c>
      <c r="E307" s="11"/>
      <c r="F307" s="11" t="s">
        <v>31</v>
      </c>
      <c r="G307" s="11" t="s">
        <v>838</v>
      </c>
      <c r="H307" s="11"/>
      <c r="I307" s="12">
        <v>0.81</v>
      </c>
      <c r="J307" s="11"/>
      <c r="K307" s="11" t="s">
        <v>839</v>
      </c>
      <c r="L307" s="11" t="s">
        <v>34</v>
      </c>
      <c r="M307" s="13"/>
    </row>
    <row r="308" spans="1:13" x14ac:dyDescent="0.3">
      <c r="A308" s="11" t="s">
        <v>840</v>
      </c>
      <c r="B308" s="11" t="s">
        <v>835</v>
      </c>
      <c r="C308" s="11" t="s">
        <v>836</v>
      </c>
      <c r="D308" s="11" t="s">
        <v>836</v>
      </c>
      <c r="E308" s="11"/>
      <c r="F308" s="11" t="s">
        <v>841</v>
      </c>
      <c r="G308" s="11" t="s">
        <v>842</v>
      </c>
      <c r="H308" s="11" t="s">
        <v>109</v>
      </c>
      <c r="I308" s="12">
        <v>2.2000000000000002</v>
      </c>
      <c r="J308" s="11" t="s">
        <v>843</v>
      </c>
      <c r="K308" s="11" t="s">
        <v>844</v>
      </c>
      <c r="L308" s="11" t="s">
        <v>34</v>
      </c>
      <c r="M308" s="13"/>
    </row>
    <row r="309" spans="1:13" x14ac:dyDescent="0.3">
      <c r="A309" s="11" t="s">
        <v>845</v>
      </c>
      <c r="B309" s="11" t="s">
        <v>835</v>
      </c>
      <c r="C309" s="11" t="s">
        <v>836</v>
      </c>
      <c r="D309" s="11" t="s">
        <v>836</v>
      </c>
      <c r="E309" s="11"/>
      <c r="F309" s="11" t="s">
        <v>31</v>
      </c>
      <c r="G309" s="11" t="s">
        <v>846</v>
      </c>
      <c r="H309" s="11"/>
      <c r="I309" s="12">
        <v>3</v>
      </c>
      <c r="J309" s="11"/>
      <c r="K309" s="11" t="s">
        <v>847</v>
      </c>
      <c r="L309" s="11" t="s">
        <v>34</v>
      </c>
      <c r="M309" s="13"/>
    </row>
    <row r="310" spans="1:13" x14ac:dyDescent="0.3">
      <c r="A310" s="11" t="s">
        <v>848</v>
      </c>
      <c r="B310" s="11" t="s">
        <v>835</v>
      </c>
      <c r="C310" s="11" t="s">
        <v>836</v>
      </c>
      <c r="D310" s="11" t="s">
        <v>849</v>
      </c>
      <c r="E310" s="11"/>
      <c r="F310" s="11" t="s">
        <v>31</v>
      </c>
      <c r="G310" s="11" t="s">
        <v>838</v>
      </c>
      <c r="H310" s="11"/>
      <c r="I310" s="12">
        <v>3</v>
      </c>
      <c r="J310" s="11"/>
      <c r="K310" s="11" t="s">
        <v>850</v>
      </c>
      <c r="L310" s="11" t="s">
        <v>34</v>
      </c>
      <c r="M310" s="13"/>
    </row>
    <row r="311" spans="1:13" x14ac:dyDescent="0.3">
      <c r="A311" s="11" t="s">
        <v>851</v>
      </c>
      <c r="B311" s="11" t="s">
        <v>835</v>
      </c>
      <c r="C311" s="11" t="s">
        <v>852</v>
      </c>
      <c r="D311" s="11" t="s">
        <v>852</v>
      </c>
      <c r="E311" s="11"/>
      <c r="F311" s="11" t="s">
        <v>37</v>
      </c>
      <c r="G311" s="11" t="s">
        <v>115</v>
      </c>
      <c r="H311" s="11" t="s">
        <v>109</v>
      </c>
      <c r="I311" s="12">
        <v>1.5</v>
      </c>
      <c r="J311" s="11"/>
      <c r="K311" s="11" t="s">
        <v>853</v>
      </c>
      <c r="L311" s="11" t="s">
        <v>34</v>
      </c>
      <c r="M311" s="13"/>
    </row>
    <row r="312" spans="1:13" x14ac:dyDescent="0.3">
      <c r="A312" s="11" t="s">
        <v>854</v>
      </c>
      <c r="B312" s="11" t="s">
        <v>835</v>
      </c>
      <c r="C312" s="11" t="s">
        <v>852</v>
      </c>
      <c r="D312" s="11" t="s">
        <v>852</v>
      </c>
      <c r="E312" s="11"/>
      <c r="F312" s="11" t="s">
        <v>37</v>
      </c>
      <c r="G312" s="11" t="s">
        <v>842</v>
      </c>
      <c r="H312" s="11" t="s">
        <v>109</v>
      </c>
      <c r="I312" s="12">
        <v>1.5</v>
      </c>
      <c r="J312" s="11"/>
      <c r="K312" s="11" t="s">
        <v>855</v>
      </c>
      <c r="L312" s="11" t="s">
        <v>34</v>
      </c>
      <c r="M312" s="13"/>
    </row>
    <row r="313" spans="1:13" x14ac:dyDescent="0.3">
      <c r="A313" s="11" t="s">
        <v>856</v>
      </c>
      <c r="B313" s="11" t="s">
        <v>835</v>
      </c>
      <c r="C313" s="11" t="s">
        <v>852</v>
      </c>
      <c r="D313" s="11" t="s">
        <v>852</v>
      </c>
      <c r="E313" s="11"/>
      <c r="F313" s="11" t="s">
        <v>37</v>
      </c>
      <c r="G313" s="11" t="s">
        <v>846</v>
      </c>
      <c r="H313" s="11"/>
      <c r="I313" s="12">
        <v>5.7</v>
      </c>
      <c r="J313" s="11"/>
      <c r="K313" s="11" t="s">
        <v>857</v>
      </c>
      <c r="L313" s="11" t="s">
        <v>34</v>
      </c>
      <c r="M313" s="13"/>
    </row>
    <row r="314" spans="1:13" x14ac:dyDescent="0.3">
      <c r="A314" s="11" t="s">
        <v>858</v>
      </c>
      <c r="B314" s="11" t="s">
        <v>835</v>
      </c>
      <c r="C314" s="11" t="s">
        <v>852</v>
      </c>
      <c r="D314" s="11" t="s">
        <v>852</v>
      </c>
      <c r="E314" s="11"/>
      <c r="F314" s="11" t="s">
        <v>124</v>
      </c>
      <c r="G314" s="11" t="s">
        <v>213</v>
      </c>
      <c r="H314" s="11"/>
      <c r="I314" s="12">
        <v>1.5</v>
      </c>
      <c r="J314" s="11"/>
      <c r="K314" s="11" t="s">
        <v>859</v>
      </c>
      <c r="L314" s="11" t="s">
        <v>34</v>
      </c>
      <c r="M314" s="13"/>
    </row>
    <row r="315" spans="1:13" x14ac:dyDescent="0.3">
      <c r="A315" s="11" t="s">
        <v>860</v>
      </c>
      <c r="B315" s="11" t="s">
        <v>835</v>
      </c>
      <c r="C315" s="11" t="s">
        <v>852</v>
      </c>
      <c r="D315" s="11" t="s">
        <v>852</v>
      </c>
      <c r="E315" s="11"/>
      <c r="F315" s="11" t="s">
        <v>124</v>
      </c>
      <c r="G315" s="11" t="s">
        <v>125</v>
      </c>
      <c r="H315" s="11" t="s">
        <v>126</v>
      </c>
      <c r="I315" s="12">
        <v>1.5</v>
      </c>
      <c r="J315" s="11"/>
      <c r="K315" s="11" t="s">
        <v>861</v>
      </c>
      <c r="L315" s="11" t="s">
        <v>34</v>
      </c>
      <c r="M315" s="13"/>
    </row>
    <row r="316" spans="1:13" x14ac:dyDescent="0.3">
      <c r="A316" s="11" t="s">
        <v>862</v>
      </c>
      <c r="B316" s="11" t="s">
        <v>835</v>
      </c>
      <c r="C316" s="11" t="s">
        <v>852</v>
      </c>
      <c r="D316" s="11" t="s">
        <v>852</v>
      </c>
      <c r="E316" s="11"/>
      <c r="F316" s="11" t="s">
        <v>124</v>
      </c>
      <c r="G316" s="11" t="s">
        <v>863</v>
      </c>
      <c r="H316" s="11"/>
      <c r="I316" s="12">
        <v>5.7</v>
      </c>
      <c r="J316" s="11"/>
      <c r="K316" s="11" t="s">
        <v>864</v>
      </c>
      <c r="L316" s="11" t="s">
        <v>34</v>
      </c>
      <c r="M316" s="13"/>
    </row>
    <row r="317" spans="1:13" x14ac:dyDescent="0.3">
      <c r="A317" s="11" t="s">
        <v>865</v>
      </c>
      <c r="B317" s="11" t="s">
        <v>835</v>
      </c>
      <c r="C317" s="11" t="s">
        <v>852</v>
      </c>
      <c r="D317" s="11" t="s">
        <v>852</v>
      </c>
      <c r="E317" s="11"/>
      <c r="F317" s="11" t="s">
        <v>129</v>
      </c>
      <c r="G317" s="11" t="s">
        <v>371</v>
      </c>
      <c r="H317" s="11" t="s">
        <v>142</v>
      </c>
      <c r="I317" s="12">
        <v>1.5</v>
      </c>
      <c r="J317" s="11"/>
      <c r="K317" s="11" t="s">
        <v>866</v>
      </c>
      <c r="L317" s="11" t="s">
        <v>34</v>
      </c>
      <c r="M317" s="13"/>
    </row>
    <row r="318" spans="1:13" x14ac:dyDescent="0.3">
      <c r="A318" s="11" t="s">
        <v>867</v>
      </c>
      <c r="B318" s="11" t="s">
        <v>835</v>
      </c>
      <c r="C318" s="11" t="s">
        <v>852</v>
      </c>
      <c r="D318" s="11" t="s">
        <v>852</v>
      </c>
      <c r="E318" s="11"/>
      <c r="F318" s="11" t="s">
        <v>129</v>
      </c>
      <c r="G318" s="11" t="s">
        <v>118</v>
      </c>
      <c r="H318" s="11" t="s">
        <v>142</v>
      </c>
      <c r="I318" s="12">
        <v>1.5</v>
      </c>
      <c r="J318" s="11"/>
      <c r="K318" s="11" t="s">
        <v>868</v>
      </c>
      <c r="L318" s="11" t="s">
        <v>34</v>
      </c>
      <c r="M318" s="13"/>
    </row>
    <row r="319" spans="1:13" x14ac:dyDescent="0.3">
      <c r="A319" s="11" t="s">
        <v>869</v>
      </c>
      <c r="B319" s="11" t="s">
        <v>835</v>
      </c>
      <c r="C319" s="11" t="s">
        <v>852</v>
      </c>
      <c r="D319" s="11" t="s">
        <v>852</v>
      </c>
      <c r="E319" s="11"/>
      <c r="F319" s="11" t="s">
        <v>129</v>
      </c>
      <c r="G319" s="11" t="s">
        <v>145</v>
      </c>
      <c r="H319" s="11" t="s">
        <v>146</v>
      </c>
      <c r="I319" s="12">
        <v>1.5</v>
      </c>
      <c r="J319" s="11"/>
      <c r="K319" s="11" t="s">
        <v>870</v>
      </c>
      <c r="L319" s="11" t="s">
        <v>34</v>
      </c>
      <c r="M319" s="13"/>
    </row>
    <row r="320" spans="1:13" x14ac:dyDescent="0.3">
      <c r="A320" s="11" t="s">
        <v>871</v>
      </c>
      <c r="B320" s="11" t="s">
        <v>835</v>
      </c>
      <c r="C320" s="11" t="s">
        <v>852</v>
      </c>
      <c r="D320" s="11" t="s">
        <v>852</v>
      </c>
      <c r="E320" s="11"/>
      <c r="F320" s="11" t="s">
        <v>129</v>
      </c>
      <c r="G320" s="11" t="s">
        <v>799</v>
      </c>
      <c r="H320" s="11"/>
      <c r="I320" s="12">
        <v>5.7</v>
      </c>
      <c r="J320" s="11"/>
      <c r="K320" s="11" t="s">
        <v>872</v>
      </c>
      <c r="L320" s="11" t="s">
        <v>34</v>
      </c>
      <c r="M320" s="13"/>
    </row>
    <row r="321" spans="1:13" x14ac:dyDescent="0.3">
      <c r="A321" s="11" t="s">
        <v>873</v>
      </c>
      <c r="B321" s="11" t="s">
        <v>835</v>
      </c>
      <c r="C321" s="11" t="s">
        <v>852</v>
      </c>
      <c r="D321" s="11" t="s">
        <v>874</v>
      </c>
      <c r="E321" s="11"/>
      <c r="F321" s="11" t="s">
        <v>31</v>
      </c>
      <c r="G321" s="11" t="s">
        <v>846</v>
      </c>
      <c r="H321" s="11"/>
      <c r="I321" s="12">
        <v>2.9</v>
      </c>
      <c r="J321" s="11" t="s">
        <v>875</v>
      </c>
      <c r="K321" s="11" t="s">
        <v>876</v>
      </c>
      <c r="L321" s="11" t="s">
        <v>34</v>
      </c>
      <c r="M321" s="13"/>
    </row>
    <row r="322" spans="1:13" x14ac:dyDescent="0.3">
      <c r="A322" s="11" t="s">
        <v>877</v>
      </c>
      <c r="B322" s="11" t="s">
        <v>835</v>
      </c>
      <c r="C322" s="11" t="s">
        <v>852</v>
      </c>
      <c r="D322" s="11" t="s">
        <v>878</v>
      </c>
      <c r="E322" s="11"/>
      <c r="F322" s="11" t="s">
        <v>31</v>
      </c>
      <c r="G322" s="11"/>
      <c r="H322" s="11"/>
      <c r="I322" s="12">
        <v>1.5</v>
      </c>
      <c r="J322" s="11" t="s">
        <v>879</v>
      </c>
      <c r="K322" s="11" t="s">
        <v>880</v>
      </c>
      <c r="L322" s="11" t="s">
        <v>34</v>
      </c>
      <c r="M322" s="13"/>
    </row>
    <row r="323" spans="1:13" x14ac:dyDescent="0.3">
      <c r="A323" s="11" t="s">
        <v>881</v>
      </c>
      <c r="B323" s="11" t="s">
        <v>835</v>
      </c>
      <c r="C323" s="11" t="s">
        <v>852</v>
      </c>
      <c r="D323" s="11" t="s">
        <v>882</v>
      </c>
      <c r="E323" s="11"/>
      <c r="F323" s="11" t="s">
        <v>31</v>
      </c>
      <c r="G323" s="11"/>
      <c r="H323" s="11"/>
      <c r="I323" s="12">
        <v>5.7</v>
      </c>
      <c r="J323" s="11" t="s">
        <v>883</v>
      </c>
      <c r="K323" s="11" t="s">
        <v>884</v>
      </c>
      <c r="L323" s="11" t="s">
        <v>34</v>
      </c>
      <c r="M323" s="13"/>
    </row>
    <row r="324" spans="1:13" x14ac:dyDescent="0.3">
      <c r="A324" s="11" t="s">
        <v>885</v>
      </c>
      <c r="B324" s="11" t="s">
        <v>886</v>
      </c>
      <c r="C324" s="11" t="s">
        <v>887</v>
      </c>
      <c r="D324" s="11" t="s">
        <v>887</v>
      </c>
      <c r="E324" s="11"/>
      <c r="F324" s="11" t="s">
        <v>37</v>
      </c>
      <c r="G324" s="11" t="s">
        <v>108</v>
      </c>
      <c r="H324" s="11" t="s">
        <v>109</v>
      </c>
      <c r="I324" s="12">
        <v>0.6</v>
      </c>
      <c r="J324" s="11"/>
      <c r="K324" s="11" t="s">
        <v>888</v>
      </c>
      <c r="L324" s="11" t="s">
        <v>34</v>
      </c>
      <c r="M324" s="13"/>
    </row>
    <row r="325" spans="1:13" x14ac:dyDescent="0.3">
      <c r="A325" s="11" t="s">
        <v>889</v>
      </c>
      <c r="B325" s="11" t="s">
        <v>886</v>
      </c>
      <c r="C325" s="11" t="s">
        <v>887</v>
      </c>
      <c r="D325" s="11" t="s">
        <v>887</v>
      </c>
      <c r="E325" s="11"/>
      <c r="F325" s="11" t="s">
        <v>37</v>
      </c>
      <c r="G325" s="11" t="s">
        <v>112</v>
      </c>
      <c r="H325" s="11" t="s">
        <v>109</v>
      </c>
      <c r="I325" s="12">
        <v>0.45</v>
      </c>
      <c r="J325" s="11"/>
      <c r="K325" s="11" t="s">
        <v>890</v>
      </c>
      <c r="L325" s="11" t="s">
        <v>34</v>
      </c>
      <c r="M325" s="13"/>
    </row>
    <row r="326" spans="1:13" x14ac:dyDescent="0.3">
      <c r="A326" s="11" t="s">
        <v>891</v>
      </c>
      <c r="B326" s="11" t="s">
        <v>886</v>
      </c>
      <c r="C326" s="11" t="s">
        <v>887</v>
      </c>
      <c r="D326" s="11" t="s">
        <v>887</v>
      </c>
      <c r="E326" s="11"/>
      <c r="F326" s="11" t="s">
        <v>37</v>
      </c>
      <c r="G326" s="11" t="s">
        <v>115</v>
      </c>
      <c r="H326" s="11" t="s">
        <v>109</v>
      </c>
      <c r="I326" s="12">
        <v>0.45</v>
      </c>
      <c r="J326" s="11"/>
      <c r="K326" s="11" t="s">
        <v>892</v>
      </c>
      <c r="L326" s="11" t="s">
        <v>34</v>
      </c>
      <c r="M326" s="13"/>
    </row>
    <row r="327" spans="1:13" x14ac:dyDescent="0.3">
      <c r="A327" s="11" t="s">
        <v>893</v>
      </c>
      <c r="B327" s="11" t="s">
        <v>886</v>
      </c>
      <c r="C327" s="11" t="s">
        <v>887</v>
      </c>
      <c r="D327" s="11" t="s">
        <v>887</v>
      </c>
      <c r="E327" s="11"/>
      <c r="F327" s="11" t="s">
        <v>37</v>
      </c>
      <c r="G327" s="11" t="s">
        <v>118</v>
      </c>
      <c r="H327" s="11" t="s">
        <v>109</v>
      </c>
      <c r="I327" s="12">
        <v>0.35</v>
      </c>
      <c r="J327" s="11"/>
      <c r="K327" s="11" t="s">
        <v>894</v>
      </c>
      <c r="L327" s="11" t="s">
        <v>34</v>
      </c>
      <c r="M327" s="13"/>
    </row>
    <row r="328" spans="1:13" x14ac:dyDescent="0.3">
      <c r="A328" s="11" t="s">
        <v>895</v>
      </c>
      <c r="B328" s="11" t="s">
        <v>886</v>
      </c>
      <c r="C328" s="11" t="s">
        <v>887</v>
      </c>
      <c r="D328" s="11" t="s">
        <v>887</v>
      </c>
      <c r="E328" s="11"/>
      <c r="F328" s="11" t="s">
        <v>37</v>
      </c>
      <c r="G328" s="11" t="s">
        <v>121</v>
      </c>
      <c r="H328" s="11" t="s">
        <v>109</v>
      </c>
      <c r="I328" s="12">
        <v>0.35</v>
      </c>
      <c r="J328" s="11"/>
      <c r="K328" s="11" t="s">
        <v>896</v>
      </c>
      <c r="L328" s="11" t="s">
        <v>34</v>
      </c>
      <c r="M328" s="13"/>
    </row>
    <row r="329" spans="1:13" x14ac:dyDescent="0.3">
      <c r="A329" s="11" t="s">
        <v>897</v>
      </c>
      <c r="B329" s="11" t="s">
        <v>886</v>
      </c>
      <c r="C329" s="11" t="s">
        <v>887</v>
      </c>
      <c r="D329" s="11" t="s">
        <v>887</v>
      </c>
      <c r="E329" s="11"/>
      <c r="F329" s="11" t="s">
        <v>129</v>
      </c>
      <c r="G329" s="11" t="s">
        <v>136</v>
      </c>
      <c r="H329" s="11"/>
      <c r="I329" s="12">
        <v>0.45</v>
      </c>
      <c r="J329" s="11"/>
      <c r="K329" s="11" t="s">
        <v>898</v>
      </c>
      <c r="L329" s="11" t="s">
        <v>34</v>
      </c>
      <c r="M329" s="13"/>
    </row>
    <row r="330" spans="1:13" x14ac:dyDescent="0.3">
      <c r="A330" s="11" t="s">
        <v>899</v>
      </c>
      <c r="B330" s="11" t="s">
        <v>886</v>
      </c>
      <c r="C330" s="11" t="s">
        <v>887</v>
      </c>
      <c r="D330" s="11" t="s">
        <v>887</v>
      </c>
      <c r="E330" s="11"/>
      <c r="F330" s="11" t="s">
        <v>129</v>
      </c>
      <c r="G330" s="11" t="s">
        <v>139</v>
      </c>
      <c r="H330" s="11"/>
      <c r="I330" s="12">
        <v>0.45</v>
      </c>
      <c r="J330" s="11"/>
      <c r="K330" s="11" t="s">
        <v>900</v>
      </c>
      <c r="L330" s="11" t="s">
        <v>34</v>
      </c>
      <c r="M330" s="13"/>
    </row>
    <row r="331" spans="1:13" x14ac:dyDescent="0.3">
      <c r="A331" s="11" t="s">
        <v>901</v>
      </c>
      <c r="B331" s="11" t="s">
        <v>886</v>
      </c>
      <c r="C331" s="11" t="s">
        <v>887</v>
      </c>
      <c r="D331" s="11" t="s">
        <v>887</v>
      </c>
      <c r="E331" s="11"/>
      <c r="F331" s="11" t="s">
        <v>129</v>
      </c>
      <c r="G331" s="11" t="s">
        <v>175</v>
      </c>
      <c r="H331" s="11"/>
      <c r="I331" s="12">
        <v>0.3</v>
      </c>
      <c r="J331" s="11"/>
      <c r="K331" s="11" t="s">
        <v>902</v>
      </c>
      <c r="L331" s="11" t="s">
        <v>34</v>
      </c>
      <c r="M331" s="13"/>
    </row>
    <row r="332" spans="1:13" x14ac:dyDescent="0.3">
      <c r="A332" s="11" t="s">
        <v>903</v>
      </c>
      <c r="B332" s="11" t="s">
        <v>886</v>
      </c>
      <c r="C332" s="11" t="s">
        <v>887</v>
      </c>
      <c r="D332" s="11" t="s">
        <v>887</v>
      </c>
      <c r="E332" s="11"/>
      <c r="F332" s="11" t="s">
        <v>129</v>
      </c>
      <c r="G332" s="11" t="s">
        <v>145</v>
      </c>
      <c r="H332" s="11" t="s">
        <v>146</v>
      </c>
      <c r="I332" s="12">
        <v>1.2</v>
      </c>
      <c r="J332" s="11"/>
      <c r="K332" s="11" t="s">
        <v>904</v>
      </c>
      <c r="L332" s="11" t="s">
        <v>34</v>
      </c>
      <c r="M332" s="13"/>
    </row>
    <row r="333" spans="1:13" x14ac:dyDescent="0.3">
      <c r="A333" s="11" t="s">
        <v>905</v>
      </c>
      <c r="B333" s="11" t="s">
        <v>886</v>
      </c>
      <c r="C333" s="11" t="s">
        <v>887</v>
      </c>
      <c r="D333" s="11" t="s">
        <v>906</v>
      </c>
      <c r="E333" s="11"/>
      <c r="F333" s="11" t="s">
        <v>31</v>
      </c>
      <c r="G333" s="11" t="s">
        <v>838</v>
      </c>
      <c r="H333" s="11"/>
      <c r="I333" s="12">
        <v>1</v>
      </c>
      <c r="J333" s="11"/>
      <c r="K333" s="11" t="s">
        <v>907</v>
      </c>
      <c r="L333" s="11" t="s">
        <v>34</v>
      </c>
      <c r="M333" s="13"/>
    </row>
    <row r="334" spans="1:13" x14ac:dyDescent="0.3">
      <c r="A334" s="11" t="s">
        <v>908</v>
      </c>
      <c r="B334" s="11" t="s">
        <v>886</v>
      </c>
      <c r="C334" s="11" t="s">
        <v>887</v>
      </c>
      <c r="D334" s="11" t="s">
        <v>887</v>
      </c>
      <c r="E334" s="11"/>
      <c r="F334" s="11" t="s">
        <v>31</v>
      </c>
      <c r="G334" s="11" t="s">
        <v>271</v>
      </c>
      <c r="H334" s="11"/>
      <c r="I334" s="12">
        <v>2.2999999999999998</v>
      </c>
      <c r="J334" s="11"/>
      <c r="K334" s="11" t="s">
        <v>909</v>
      </c>
      <c r="L334" s="11" t="s">
        <v>34</v>
      </c>
      <c r="M334" s="13"/>
    </row>
    <row r="335" spans="1:13" x14ac:dyDescent="0.3">
      <c r="A335" s="11" t="s">
        <v>910</v>
      </c>
      <c r="B335" s="11" t="s">
        <v>911</v>
      </c>
      <c r="C335" s="11" t="s">
        <v>912</v>
      </c>
      <c r="D335" s="11" t="s">
        <v>913</v>
      </c>
      <c r="E335" s="11" t="s">
        <v>914</v>
      </c>
      <c r="F335" s="11" t="s">
        <v>37</v>
      </c>
      <c r="G335" s="11" t="s">
        <v>776</v>
      </c>
      <c r="H335" s="11" t="s">
        <v>915</v>
      </c>
      <c r="I335" s="12">
        <v>5.08</v>
      </c>
      <c r="J335" s="11"/>
      <c r="K335" s="11" t="s">
        <v>916</v>
      </c>
      <c r="L335" s="11" t="s">
        <v>34</v>
      </c>
      <c r="M335" s="13" t="s">
        <v>656</v>
      </c>
    </row>
    <row r="336" spans="1:13" x14ac:dyDescent="0.3">
      <c r="A336" s="11" t="s">
        <v>917</v>
      </c>
      <c r="B336" s="11" t="s">
        <v>911</v>
      </c>
      <c r="C336" s="11" t="s">
        <v>912</v>
      </c>
      <c r="D336" s="11" t="s">
        <v>913</v>
      </c>
      <c r="E336" s="11" t="s">
        <v>914</v>
      </c>
      <c r="F336" s="11" t="s">
        <v>37</v>
      </c>
      <c r="G336" s="11" t="s">
        <v>112</v>
      </c>
      <c r="H336" s="11" t="s">
        <v>915</v>
      </c>
      <c r="I336" s="12">
        <v>5.08</v>
      </c>
      <c r="J336" s="11" t="s">
        <v>918</v>
      </c>
      <c r="K336" s="11" t="s">
        <v>919</v>
      </c>
      <c r="L336" s="11" t="s">
        <v>34</v>
      </c>
      <c r="M336" s="13" t="s">
        <v>656</v>
      </c>
    </row>
    <row r="337" spans="1:13" x14ac:dyDescent="0.3">
      <c r="A337" s="11" t="s">
        <v>920</v>
      </c>
      <c r="B337" s="11" t="s">
        <v>911</v>
      </c>
      <c r="C337" s="11" t="s">
        <v>912</v>
      </c>
      <c r="D337" s="11" t="s">
        <v>913</v>
      </c>
      <c r="E337" s="11" t="s">
        <v>914</v>
      </c>
      <c r="F337" s="11" t="s">
        <v>37</v>
      </c>
      <c r="G337" s="11" t="s">
        <v>115</v>
      </c>
      <c r="H337" s="11" t="s">
        <v>915</v>
      </c>
      <c r="I337" s="12">
        <v>5.4009999999999998</v>
      </c>
      <c r="J337" s="11"/>
      <c r="K337" s="11" t="s">
        <v>921</v>
      </c>
      <c r="L337" s="11" t="s">
        <v>34</v>
      </c>
      <c r="M337" s="13" t="s">
        <v>656</v>
      </c>
    </row>
    <row r="338" spans="1:13" x14ac:dyDescent="0.3">
      <c r="A338" s="11" t="s">
        <v>922</v>
      </c>
      <c r="B338" s="11" t="s">
        <v>911</v>
      </c>
      <c r="C338" s="11" t="s">
        <v>912</v>
      </c>
      <c r="D338" s="11" t="s">
        <v>913</v>
      </c>
      <c r="E338" s="11" t="s">
        <v>914</v>
      </c>
      <c r="F338" s="11" t="s">
        <v>37</v>
      </c>
      <c r="G338" s="11" t="s">
        <v>118</v>
      </c>
      <c r="H338" s="11" t="s">
        <v>915</v>
      </c>
      <c r="I338" s="12">
        <v>5.4009999999999998</v>
      </c>
      <c r="J338" s="11"/>
      <c r="K338" s="11" t="s">
        <v>923</v>
      </c>
      <c r="L338" s="11" t="s">
        <v>34</v>
      </c>
      <c r="M338" s="13" t="s">
        <v>656</v>
      </c>
    </row>
    <row r="339" spans="1:13" x14ac:dyDescent="0.3">
      <c r="A339" s="11" t="s">
        <v>924</v>
      </c>
      <c r="B339" s="11" t="s">
        <v>911</v>
      </c>
      <c r="C339" s="11" t="s">
        <v>912</v>
      </c>
      <c r="D339" s="11" t="s">
        <v>913</v>
      </c>
      <c r="E339" s="11" t="s">
        <v>914</v>
      </c>
      <c r="F339" s="11" t="s">
        <v>37</v>
      </c>
      <c r="G339" s="11" t="s">
        <v>125</v>
      </c>
      <c r="H339" s="11" t="s">
        <v>915</v>
      </c>
      <c r="I339" s="12">
        <v>5.4009999999999998</v>
      </c>
      <c r="J339" s="11"/>
      <c r="K339" s="11" t="s">
        <v>925</v>
      </c>
      <c r="L339" s="11" t="s">
        <v>34</v>
      </c>
      <c r="M339" s="13" t="s">
        <v>656</v>
      </c>
    </row>
    <row r="340" spans="1:13" x14ac:dyDescent="0.3">
      <c r="A340" s="11" t="s">
        <v>926</v>
      </c>
      <c r="B340" s="11" t="s">
        <v>911</v>
      </c>
      <c r="C340" s="11" t="s">
        <v>912</v>
      </c>
      <c r="D340" s="11" t="s">
        <v>913</v>
      </c>
      <c r="E340" s="11" t="s">
        <v>914</v>
      </c>
      <c r="F340" s="11" t="s">
        <v>37</v>
      </c>
      <c r="G340" s="11" t="s">
        <v>927</v>
      </c>
      <c r="H340" s="11" t="s">
        <v>915</v>
      </c>
      <c r="I340" s="12">
        <v>5.4009999999999998</v>
      </c>
      <c r="J340" s="11"/>
      <c r="K340" s="11" t="s">
        <v>928</v>
      </c>
      <c r="L340" s="11" t="s">
        <v>34</v>
      </c>
      <c r="M340" s="13" t="s">
        <v>656</v>
      </c>
    </row>
    <row r="341" spans="1:13" x14ac:dyDescent="0.3">
      <c r="A341" s="11" t="s">
        <v>929</v>
      </c>
      <c r="B341" s="11" t="s">
        <v>911</v>
      </c>
      <c r="C341" s="11" t="s">
        <v>912</v>
      </c>
      <c r="D341" s="11" t="s">
        <v>913</v>
      </c>
      <c r="E341" s="11" t="s">
        <v>930</v>
      </c>
      <c r="F341" s="11" t="s">
        <v>37</v>
      </c>
      <c r="G341" s="11" t="s">
        <v>776</v>
      </c>
      <c r="H341" s="11" t="s">
        <v>915</v>
      </c>
      <c r="I341" s="12">
        <v>3.1930000000000001</v>
      </c>
      <c r="J341" s="11"/>
      <c r="K341" s="11" t="s">
        <v>931</v>
      </c>
      <c r="L341" s="11" t="s">
        <v>34</v>
      </c>
      <c r="M341" s="13" t="s">
        <v>656</v>
      </c>
    </row>
    <row r="342" spans="1:13" x14ac:dyDescent="0.3">
      <c r="A342" s="11" t="s">
        <v>932</v>
      </c>
      <c r="B342" s="11" t="s">
        <v>911</v>
      </c>
      <c r="C342" s="11" t="s">
        <v>912</v>
      </c>
      <c r="D342" s="11" t="s">
        <v>913</v>
      </c>
      <c r="E342" s="11" t="s">
        <v>930</v>
      </c>
      <c r="F342" s="11" t="s">
        <v>37</v>
      </c>
      <c r="G342" s="11" t="s">
        <v>112</v>
      </c>
      <c r="H342" s="11" t="s">
        <v>915</v>
      </c>
      <c r="I342" s="12">
        <v>3.1930000000000001</v>
      </c>
      <c r="J342" s="11"/>
      <c r="K342" s="11" t="s">
        <v>933</v>
      </c>
      <c r="L342" s="11" t="s">
        <v>34</v>
      </c>
      <c r="M342" s="13" t="s">
        <v>656</v>
      </c>
    </row>
    <row r="343" spans="1:13" x14ac:dyDescent="0.3">
      <c r="A343" s="11" t="s">
        <v>934</v>
      </c>
      <c r="B343" s="11" t="s">
        <v>911</v>
      </c>
      <c r="C343" s="11" t="s">
        <v>912</v>
      </c>
      <c r="D343" s="11" t="s">
        <v>913</v>
      </c>
      <c r="E343" s="11" t="s">
        <v>930</v>
      </c>
      <c r="F343" s="11" t="s">
        <v>37</v>
      </c>
      <c r="G343" s="11" t="s">
        <v>115</v>
      </c>
      <c r="H343" s="11" t="s">
        <v>915</v>
      </c>
      <c r="I343" s="12">
        <v>3.1829999999999998</v>
      </c>
      <c r="J343" s="11"/>
      <c r="K343" s="11" t="s">
        <v>935</v>
      </c>
      <c r="L343" s="11" t="s">
        <v>34</v>
      </c>
      <c r="M343" s="13" t="s">
        <v>656</v>
      </c>
    </row>
    <row r="344" spans="1:13" x14ac:dyDescent="0.3">
      <c r="A344" s="11" t="s">
        <v>936</v>
      </c>
      <c r="B344" s="11" t="s">
        <v>911</v>
      </c>
      <c r="C344" s="11" t="s">
        <v>912</v>
      </c>
      <c r="D344" s="11" t="s">
        <v>913</v>
      </c>
      <c r="E344" s="11" t="s">
        <v>930</v>
      </c>
      <c r="F344" s="11" t="s">
        <v>37</v>
      </c>
      <c r="G344" s="11" t="s">
        <v>118</v>
      </c>
      <c r="H344" s="11" t="s">
        <v>915</v>
      </c>
      <c r="I344" s="12">
        <v>3.1829999999999998</v>
      </c>
      <c r="J344" s="11"/>
      <c r="K344" s="11" t="s">
        <v>937</v>
      </c>
      <c r="L344" s="11" t="s">
        <v>34</v>
      </c>
      <c r="M344" s="13" t="s">
        <v>656</v>
      </c>
    </row>
    <row r="345" spans="1:13" x14ac:dyDescent="0.3">
      <c r="A345" s="11" t="s">
        <v>938</v>
      </c>
      <c r="B345" s="11" t="s">
        <v>911</v>
      </c>
      <c r="C345" s="11" t="s">
        <v>912</v>
      </c>
      <c r="D345" s="11" t="s">
        <v>913</v>
      </c>
      <c r="E345" s="11" t="s">
        <v>930</v>
      </c>
      <c r="F345" s="11" t="s">
        <v>37</v>
      </c>
      <c r="G345" s="11" t="s">
        <v>125</v>
      </c>
      <c r="H345" s="11" t="s">
        <v>915</v>
      </c>
      <c r="I345" s="12">
        <v>3.1059999999999999</v>
      </c>
      <c r="J345" s="11"/>
      <c r="K345" s="11" t="s">
        <v>939</v>
      </c>
      <c r="L345" s="11" t="s">
        <v>34</v>
      </c>
      <c r="M345" s="13" t="s">
        <v>656</v>
      </c>
    </row>
    <row r="346" spans="1:13" x14ac:dyDescent="0.3">
      <c r="A346" s="11" t="s">
        <v>940</v>
      </c>
      <c r="B346" s="11" t="s">
        <v>911</v>
      </c>
      <c r="C346" s="11" t="s">
        <v>912</v>
      </c>
      <c r="D346" s="11" t="s">
        <v>913</v>
      </c>
      <c r="E346" s="11" t="s">
        <v>930</v>
      </c>
      <c r="F346" s="11" t="s">
        <v>37</v>
      </c>
      <c r="G346" s="11" t="s">
        <v>927</v>
      </c>
      <c r="H346" s="11" t="s">
        <v>915</v>
      </c>
      <c r="I346" s="12">
        <v>3.1059999999999999</v>
      </c>
      <c r="J346" s="11"/>
      <c r="K346" s="11" t="s">
        <v>941</v>
      </c>
      <c r="L346" s="11" t="s">
        <v>34</v>
      </c>
      <c r="M346" s="13" t="s">
        <v>656</v>
      </c>
    </row>
    <row r="347" spans="1:13" x14ac:dyDescent="0.3">
      <c r="A347" s="11" t="s">
        <v>942</v>
      </c>
      <c r="B347" s="11" t="s">
        <v>911</v>
      </c>
      <c r="C347" s="11" t="s">
        <v>912</v>
      </c>
      <c r="D347" s="11" t="s">
        <v>913</v>
      </c>
      <c r="E347" s="11" t="s">
        <v>930</v>
      </c>
      <c r="F347" s="11" t="s">
        <v>31</v>
      </c>
      <c r="G347" s="11" t="s">
        <v>943</v>
      </c>
      <c r="H347" s="11"/>
      <c r="I347" s="12">
        <v>3.1930000000000001</v>
      </c>
      <c r="J347" s="11"/>
      <c r="K347" s="11" t="s">
        <v>944</v>
      </c>
      <c r="L347" s="11" t="s">
        <v>34</v>
      </c>
      <c r="M347" s="13" t="s">
        <v>656</v>
      </c>
    </row>
    <row r="348" spans="1:13" x14ac:dyDescent="0.3">
      <c r="A348" s="11" t="s">
        <v>945</v>
      </c>
      <c r="B348" s="11" t="s">
        <v>911</v>
      </c>
      <c r="C348" s="11" t="s">
        <v>912</v>
      </c>
      <c r="D348" s="11" t="s">
        <v>913</v>
      </c>
      <c r="E348" s="11" t="s">
        <v>946</v>
      </c>
      <c r="F348" s="11" t="s">
        <v>37</v>
      </c>
      <c r="G348" s="11" t="s">
        <v>776</v>
      </c>
      <c r="H348" s="11" t="s">
        <v>915</v>
      </c>
      <c r="I348" s="12">
        <v>2.4700000000000002</v>
      </c>
      <c r="J348" s="11"/>
      <c r="K348" s="11" t="s">
        <v>947</v>
      </c>
      <c r="L348" s="11" t="s">
        <v>34</v>
      </c>
      <c r="M348" s="13" t="s">
        <v>656</v>
      </c>
    </row>
    <row r="349" spans="1:13" x14ac:dyDescent="0.3">
      <c r="A349" s="11" t="s">
        <v>948</v>
      </c>
      <c r="B349" s="11" t="s">
        <v>911</v>
      </c>
      <c r="C349" s="11" t="s">
        <v>912</v>
      </c>
      <c r="D349" s="11" t="s">
        <v>913</v>
      </c>
      <c r="E349" s="11" t="s">
        <v>946</v>
      </c>
      <c r="F349" s="11" t="s">
        <v>37</v>
      </c>
      <c r="G349" s="11" t="s">
        <v>112</v>
      </c>
      <c r="H349" s="11" t="s">
        <v>915</v>
      </c>
      <c r="I349" s="12">
        <v>2.4700000000000002</v>
      </c>
      <c r="J349" s="11"/>
      <c r="K349" s="11" t="s">
        <v>949</v>
      </c>
      <c r="L349" s="11" t="s">
        <v>34</v>
      </c>
      <c r="M349" s="13" t="s">
        <v>656</v>
      </c>
    </row>
    <row r="350" spans="1:13" x14ac:dyDescent="0.3">
      <c r="A350" s="11" t="s">
        <v>950</v>
      </c>
      <c r="B350" s="11" t="s">
        <v>911</v>
      </c>
      <c r="C350" s="11" t="s">
        <v>912</v>
      </c>
      <c r="D350" s="11" t="s">
        <v>913</v>
      </c>
      <c r="E350" s="11" t="s">
        <v>946</v>
      </c>
      <c r="F350" s="11" t="s">
        <v>37</v>
      </c>
      <c r="G350" s="11" t="s">
        <v>115</v>
      </c>
      <c r="H350" s="11" t="s">
        <v>915</v>
      </c>
      <c r="I350" s="12">
        <v>2.5209999999999999</v>
      </c>
      <c r="J350" s="11"/>
      <c r="K350" s="11" t="s">
        <v>951</v>
      </c>
      <c r="L350" s="11" t="s">
        <v>34</v>
      </c>
      <c r="M350" s="13" t="s">
        <v>656</v>
      </c>
    </row>
    <row r="351" spans="1:13" x14ac:dyDescent="0.3">
      <c r="A351" s="11" t="s">
        <v>952</v>
      </c>
      <c r="B351" s="11" t="s">
        <v>911</v>
      </c>
      <c r="C351" s="11" t="s">
        <v>912</v>
      </c>
      <c r="D351" s="11" t="s">
        <v>913</v>
      </c>
      <c r="E351" s="11" t="s">
        <v>946</v>
      </c>
      <c r="F351" s="11" t="s">
        <v>37</v>
      </c>
      <c r="G351" s="11" t="s">
        <v>118</v>
      </c>
      <c r="H351" s="11" t="s">
        <v>915</v>
      </c>
      <c r="I351" s="12">
        <v>2.5209999999999999</v>
      </c>
      <c r="J351" s="11"/>
      <c r="K351" s="11" t="s">
        <v>953</v>
      </c>
      <c r="L351" s="11" t="s">
        <v>34</v>
      </c>
      <c r="M351" s="13" t="s">
        <v>656</v>
      </c>
    </row>
    <row r="352" spans="1:13" x14ac:dyDescent="0.3">
      <c r="A352" s="11" t="s">
        <v>954</v>
      </c>
      <c r="B352" s="11" t="s">
        <v>911</v>
      </c>
      <c r="C352" s="11" t="s">
        <v>912</v>
      </c>
      <c r="D352" s="11" t="s">
        <v>913</v>
      </c>
      <c r="E352" s="11" t="s">
        <v>946</v>
      </c>
      <c r="F352" s="11" t="s">
        <v>37</v>
      </c>
      <c r="G352" s="11" t="s">
        <v>125</v>
      </c>
      <c r="H352" s="11" t="s">
        <v>915</v>
      </c>
      <c r="I352" s="12">
        <v>2.5209999999999999</v>
      </c>
      <c r="J352" s="11"/>
      <c r="K352" s="11" t="s">
        <v>955</v>
      </c>
      <c r="L352" s="11" t="s">
        <v>34</v>
      </c>
      <c r="M352" s="13" t="s">
        <v>656</v>
      </c>
    </row>
    <row r="353" spans="1:13" x14ac:dyDescent="0.3">
      <c r="A353" s="11" t="s">
        <v>956</v>
      </c>
      <c r="B353" s="11" t="s">
        <v>911</v>
      </c>
      <c r="C353" s="11" t="s">
        <v>912</v>
      </c>
      <c r="D353" s="11" t="s">
        <v>913</v>
      </c>
      <c r="E353" s="11" t="s">
        <v>946</v>
      </c>
      <c r="F353" s="11" t="s">
        <v>37</v>
      </c>
      <c r="G353" s="11" t="s">
        <v>927</v>
      </c>
      <c r="H353" s="11" t="s">
        <v>915</v>
      </c>
      <c r="I353" s="12">
        <v>2.5209999999999999</v>
      </c>
      <c r="J353" s="11"/>
      <c r="K353" s="11" t="s">
        <v>957</v>
      </c>
      <c r="L353" s="11" t="s">
        <v>34</v>
      </c>
      <c r="M353" s="13" t="s">
        <v>656</v>
      </c>
    </row>
    <row r="354" spans="1:13" x14ac:dyDescent="0.3">
      <c r="A354" s="11" t="s">
        <v>958</v>
      </c>
      <c r="B354" s="11" t="s">
        <v>911</v>
      </c>
      <c r="C354" s="11" t="s">
        <v>912</v>
      </c>
      <c r="D354" s="11" t="s">
        <v>913</v>
      </c>
      <c r="E354" s="11" t="s">
        <v>946</v>
      </c>
      <c r="F354" s="11" t="s">
        <v>31</v>
      </c>
      <c r="G354" s="11" t="s">
        <v>943</v>
      </c>
      <c r="H354" s="11"/>
      <c r="I354" s="12">
        <v>2.4700000000000002</v>
      </c>
      <c r="J354" s="11"/>
      <c r="K354" s="11" t="s">
        <v>959</v>
      </c>
      <c r="L354" s="11" t="s">
        <v>34</v>
      </c>
      <c r="M354" s="13" t="s">
        <v>656</v>
      </c>
    </row>
    <row r="355" spans="1:13" x14ac:dyDescent="0.3">
      <c r="A355" s="11" t="s">
        <v>960</v>
      </c>
      <c r="B355" s="11" t="s">
        <v>911</v>
      </c>
      <c r="C355" s="11" t="s">
        <v>912</v>
      </c>
      <c r="D355" s="11" t="s">
        <v>961</v>
      </c>
      <c r="E355" s="11" t="s">
        <v>914</v>
      </c>
      <c r="F355" s="11" t="s">
        <v>37</v>
      </c>
      <c r="G355" s="11" t="s">
        <v>776</v>
      </c>
      <c r="H355" s="11" t="s">
        <v>915</v>
      </c>
      <c r="I355" s="12">
        <v>6.3449999999999998</v>
      </c>
      <c r="J355" s="11"/>
      <c r="K355" s="11" t="s">
        <v>962</v>
      </c>
      <c r="L355" s="11" t="s">
        <v>34</v>
      </c>
      <c r="M355" s="13"/>
    </row>
    <row r="356" spans="1:13" x14ac:dyDescent="0.3">
      <c r="A356" s="11" t="s">
        <v>963</v>
      </c>
      <c r="B356" s="11" t="s">
        <v>911</v>
      </c>
      <c r="C356" s="11" t="s">
        <v>912</v>
      </c>
      <c r="D356" s="11" t="s">
        <v>961</v>
      </c>
      <c r="E356" s="11" t="s">
        <v>914</v>
      </c>
      <c r="F356" s="11" t="s">
        <v>37</v>
      </c>
      <c r="G356" s="11" t="s">
        <v>112</v>
      </c>
      <c r="H356" s="11" t="s">
        <v>915</v>
      </c>
      <c r="I356" s="12">
        <v>6.3449999999999998</v>
      </c>
      <c r="J356" s="11"/>
      <c r="K356" s="11" t="s">
        <v>964</v>
      </c>
      <c r="L356" s="11" t="s">
        <v>34</v>
      </c>
      <c r="M356" s="13"/>
    </row>
    <row r="357" spans="1:13" x14ac:dyDescent="0.3">
      <c r="A357" s="11" t="s">
        <v>965</v>
      </c>
      <c r="B357" s="11" t="s">
        <v>911</v>
      </c>
      <c r="C357" s="11" t="s">
        <v>912</v>
      </c>
      <c r="D357" s="11" t="s">
        <v>961</v>
      </c>
      <c r="E357" s="11" t="s">
        <v>914</v>
      </c>
      <c r="F357" s="11" t="s">
        <v>37</v>
      </c>
      <c r="G357" s="11" t="s">
        <v>115</v>
      </c>
      <c r="H357" s="11" t="s">
        <v>915</v>
      </c>
      <c r="I357" s="12">
        <v>5.7270000000000003</v>
      </c>
      <c r="J357" s="11"/>
      <c r="K357" s="11" t="s">
        <v>966</v>
      </c>
      <c r="L357" s="11" t="s">
        <v>34</v>
      </c>
      <c r="M357" s="13"/>
    </row>
    <row r="358" spans="1:13" x14ac:dyDescent="0.3">
      <c r="A358" s="11" t="s">
        <v>967</v>
      </c>
      <c r="B358" s="11" t="s">
        <v>911</v>
      </c>
      <c r="C358" s="11" t="s">
        <v>912</v>
      </c>
      <c r="D358" s="11" t="s">
        <v>961</v>
      </c>
      <c r="E358" s="11" t="s">
        <v>914</v>
      </c>
      <c r="F358" s="11" t="s">
        <v>37</v>
      </c>
      <c r="G358" s="11" t="s">
        <v>118</v>
      </c>
      <c r="H358" s="11" t="s">
        <v>915</v>
      </c>
      <c r="I358" s="12">
        <v>5.7270000000000003</v>
      </c>
      <c r="J358" s="11"/>
      <c r="K358" s="11" t="s">
        <v>968</v>
      </c>
      <c r="L358" s="11" t="s">
        <v>34</v>
      </c>
      <c r="M358" s="13"/>
    </row>
    <row r="359" spans="1:13" x14ac:dyDescent="0.3">
      <c r="A359" s="11" t="s">
        <v>969</v>
      </c>
      <c r="B359" s="11" t="s">
        <v>911</v>
      </c>
      <c r="C359" s="11" t="s">
        <v>912</v>
      </c>
      <c r="D359" s="11" t="s">
        <v>961</v>
      </c>
      <c r="E359" s="11" t="s">
        <v>914</v>
      </c>
      <c r="F359" s="11" t="s">
        <v>37</v>
      </c>
      <c r="G359" s="11" t="s">
        <v>125</v>
      </c>
      <c r="H359" s="11" t="s">
        <v>915</v>
      </c>
      <c r="I359" s="12">
        <v>5.7270000000000003</v>
      </c>
      <c r="J359" s="11"/>
      <c r="K359" s="11" t="s">
        <v>970</v>
      </c>
      <c r="L359" s="11" t="s">
        <v>34</v>
      </c>
      <c r="M359" s="13"/>
    </row>
    <row r="360" spans="1:13" x14ac:dyDescent="0.3">
      <c r="A360" s="11" t="s">
        <v>971</v>
      </c>
      <c r="B360" s="11" t="s">
        <v>911</v>
      </c>
      <c r="C360" s="11" t="s">
        <v>912</v>
      </c>
      <c r="D360" s="11" t="s">
        <v>961</v>
      </c>
      <c r="E360" s="11" t="s">
        <v>914</v>
      </c>
      <c r="F360" s="11" t="s">
        <v>37</v>
      </c>
      <c r="G360" s="11" t="s">
        <v>927</v>
      </c>
      <c r="H360" s="11" t="s">
        <v>915</v>
      </c>
      <c r="I360" s="12">
        <v>5.7270000000000003</v>
      </c>
      <c r="J360" s="11"/>
      <c r="K360" s="11" t="s">
        <v>972</v>
      </c>
      <c r="L360" s="11" t="s">
        <v>34</v>
      </c>
      <c r="M360" s="13"/>
    </row>
    <row r="361" spans="1:13" x14ac:dyDescent="0.3">
      <c r="A361" s="11" t="s">
        <v>973</v>
      </c>
      <c r="B361" s="11" t="s">
        <v>911</v>
      </c>
      <c r="C361" s="11" t="s">
        <v>912</v>
      </c>
      <c r="D361" s="11" t="s">
        <v>961</v>
      </c>
      <c r="E361" s="11" t="s">
        <v>914</v>
      </c>
      <c r="F361" s="11" t="s">
        <v>31</v>
      </c>
      <c r="G361" s="11" t="s">
        <v>943</v>
      </c>
      <c r="H361" s="11"/>
      <c r="I361" s="12">
        <v>6.3449999999999998</v>
      </c>
      <c r="J361" s="11"/>
      <c r="K361" s="11" t="s">
        <v>974</v>
      </c>
      <c r="L361" s="11" t="s">
        <v>34</v>
      </c>
      <c r="M361" s="13"/>
    </row>
    <row r="362" spans="1:13" x14ac:dyDescent="0.3">
      <c r="A362" s="11" t="s">
        <v>975</v>
      </c>
      <c r="B362" s="11" t="s">
        <v>911</v>
      </c>
      <c r="C362" s="11" t="s">
        <v>912</v>
      </c>
      <c r="D362" s="11" t="s">
        <v>961</v>
      </c>
      <c r="E362" s="11" t="s">
        <v>930</v>
      </c>
      <c r="F362" s="11" t="s">
        <v>37</v>
      </c>
      <c r="G362" s="11" t="s">
        <v>776</v>
      </c>
      <c r="H362" s="11" t="s">
        <v>915</v>
      </c>
      <c r="I362" s="12">
        <v>4.4580000000000002</v>
      </c>
      <c r="J362" s="11"/>
      <c r="K362" s="11" t="s">
        <v>976</v>
      </c>
      <c r="L362" s="11" t="s">
        <v>34</v>
      </c>
      <c r="M362" s="13"/>
    </row>
    <row r="363" spans="1:13" x14ac:dyDescent="0.3">
      <c r="A363" s="11" t="s">
        <v>977</v>
      </c>
      <c r="B363" s="11" t="s">
        <v>911</v>
      </c>
      <c r="C363" s="11" t="s">
        <v>912</v>
      </c>
      <c r="D363" s="11" t="s">
        <v>961</v>
      </c>
      <c r="E363" s="11" t="s">
        <v>930</v>
      </c>
      <c r="F363" s="11" t="s">
        <v>37</v>
      </c>
      <c r="G363" s="11" t="s">
        <v>112</v>
      </c>
      <c r="H363" s="11" t="s">
        <v>915</v>
      </c>
      <c r="I363" s="12">
        <v>4.4580000000000002</v>
      </c>
      <c r="J363" s="11"/>
      <c r="K363" s="11" t="s">
        <v>978</v>
      </c>
      <c r="L363" s="11" t="s">
        <v>34</v>
      </c>
      <c r="M363" s="13"/>
    </row>
    <row r="364" spans="1:13" x14ac:dyDescent="0.3">
      <c r="A364" s="11" t="s">
        <v>979</v>
      </c>
      <c r="B364" s="11" t="s">
        <v>911</v>
      </c>
      <c r="C364" s="11" t="s">
        <v>912</v>
      </c>
      <c r="D364" s="11" t="s">
        <v>961</v>
      </c>
      <c r="E364" s="11" t="s">
        <v>930</v>
      </c>
      <c r="F364" s="11" t="s">
        <v>37</v>
      </c>
      <c r="G364" s="11" t="s">
        <v>115</v>
      </c>
      <c r="H364" s="11" t="s">
        <v>915</v>
      </c>
      <c r="I364" s="12">
        <v>3.51</v>
      </c>
      <c r="J364" s="11"/>
      <c r="K364" s="11" t="s">
        <v>980</v>
      </c>
      <c r="L364" s="11" t="s">
        <v>34</v>
      </c>
      <c r="M364" s="13"/>
    </row>
    <row r="365" spans="1:13" x14ac:dyDescent="0.3">
      <c r="A365" s="11" t="s">
        <v>981</v>
      </c>
      <c r="B365" s="11" t="s">
        <v>911</v>
      </c>
      <c r="C365" s="11" t="s">
        <v>912</v>
      </c>
      <c r="D365" s="11" t="s">
        <v>961</v>
      </c>
      <c r="E365" s="11" t="s">
        <v>930</v>
      </c>
      <c r="F365" s="11" t="s">
        <v>37</v>
      </c>
      <c r="G365" s="11" t="s">
        <v>118</v>
      </c>
      <c r="H365" s="11" t="s">
        <v>915</v>
      </c>
      <c r="I365" s="12">
        <v>3.51</v>
      </c>
      <c r="J365" s="11"/>
      <c r="K365" s="11" t="s">
        <v>982</v>
      </c>
      <c r="L365" s="11" t="s">
        <v>34</v>
      </c>
      <c r="M365" s="13"/>
    </row>
    <row r="366" spans="1:13" x14ac:dyDescent="0.3">
      <c r="A366" s="11" t="s">
        <v>983</v>
      </c>
      <c r="B366" s="11" t="s">
        <v>911</v>
      </c>
      <c r="C366" s="11" t="s">
        <v>912</v>
      </c>
      <c r="D366" s="11" t="s">
        <v>961</v>
      </c>
      <c r="E366" s="11" t="s">
        <v>930</v>
      </c>
      <c r="F366" s="11" t="s">
        <v>37</v>
      </c>
      <c r="G366" s="11" t="s">
        <v>125</v>
      </c>
      <c r="H366" s="11" t="s">
        <v>915</v>
      </c>
      <c r="I366" s="12">
        <v>3.4329999999999998</v>
      </c>
      <c r="J366" s="11"/>
      <c r="K366" s="11" t="s">
        <v>984</v>
      </c>
      <c r="L366" s="11" t="s">
        <v>34</v>
      </c>
      <c r="M366" s="13"/>
    </row>
    <row r="367" spans="1:13" x14ac:dyDescent="0.3">
      <c r="A367" s="11" t="s">
        <v>985</v>
      </c>
      <c r="B367" s="11" t="s">
        <v>911</v>
      </c>
      <c r="C367" s="11" t="s">
        <v>912</v>
      </c>
      <c r="D367" s="11" t="s">
        <v>961</v>
      </c>
      <c r="E367" s="11" t="s">
        <v>930</v>
      </c>
      <c r="F367" s="11" t="s">
        <v>37</v>
      </c>
      <c r="G367" s="11" t="s">
        <v>927</v>
      </c>
      <c r="H367" s="11" t="s">
        <v>915</v>
      </c>
      <c r="I367" s="12">
        <v>3.4329999999999998</v>
      </c>
      <c r="J367" s="11"/>
      <c r="K367" s="11" t="s">
        <v>986</v>
      </c>
      <c r="L367" s="11" t="s">
        <v>34</v>
      </c>
      <c r="M367" s="13"/>
    </row>
    <row r="368" spans="1:13" x14ac:dyDescent="0.3">
      <c r="A368" s="11" t="s">
        <v>987</v>
      </c>
      <c r="B368" s="11" t="s">
        <v>911</v>
      </c>
      <c r="C368" s="11" t="s">
        <v>912</v>
      </c>
      <c r="D368" s="11" t="s">
        <v>961</v>
      </c>
      <c r="E368" s="11" t="s">
        <v>930</v>
      </c>
      <c r="F368" s="11" t="s">
        <v>31</v>
      </c>
      <c r="G368" s="11" t="s">
        <v>943</v>
      </c>
      <c r="H368" s="11"/>
      <c r="I368" s="12">
        <v>4.4580000000000002</v>
      </c>
      <c r="J368" s="11"/>
      <c r="K368" s="11" t="s">
        <v>988</v>
      </c>
      <c r="L368" s="11" t="s">
        <v>34</v>
      </c>
      <c r="M368" s="13"/>
    </row>
    <row r="369" spans="1:13" x14ac:dyDescent="0.3">
      <c r="A369" s="11" t="s">
        <v>989</v>
      </c>
      <c r="B369" s="11" t="s">
        <v>911</v>
      </c>
      <c r="C369" s="11" t="s">
        <v>912</v>
      </c>
      <c r="D369" s="11" t="s">
        <v>961</v>
      </c>
      <c r="E369" s="11" t="s">
        <v>946</v>
      </c>
      <c r="F369" s="11" t="s">
        <v>37</v>
      </c>
      <c r="G369" s="11" t="s">
        <v>112</v>
      </c>
      <c r="H369" s="11" t="s">
        <v>915</v>
      </c>
      <c r="I369" s="12">
        <v>3.7349999999999999</v>
      </c>
      <c r="J369" s="11"/>
      <c r="K369" s="11" t="s">
        <v>990</v>
      </c>
      <c r="L369" s="11" t="s">
        <v>34</v>
      </c>
      <c r="M369" s="13"/>
    </row>
    <row r="370" spans="1:13" x14ac:dyDescent="0.3">
      <c r="A370" s="11" t="s">
        <v>991</v>
      </c>
      <c r="B370" s="11" t="s">
        <v>911</v>
      </c>
      <c r="C370" s="11" t="s">
        <v>912</v>
      </c>
      <c r="D370" s="11" t="s">
        <v>961</v>
      </c>
      <c r="E370" s="11" t="s">
        <v>946</v>
      </c>
      <c r="F370" s="11" t="s">
        <v>37</v>
      </c>
      <c r="G370" s="11" t="s">
        <v>115</v>
      </c>
      <c r="H370" s="11" t="s">
        <v>915</v>
      </c>
      <c r="I370" s="12">
        <v>2.8479999999999999</v>
      </c>
      <c r="J370" s="11"/>
      <c r="K370" s="11" t="s">
        <v>992</v>
      </c>
      <c r="L370" s="11" t="s">
        <v>34</v>
      </c>
      <c r="M370" s="13"/>
    </row>
    <row r="371" spans="1:13" x14ac:dyDescent="0.3">
      <c r="A371" s="11" t="s">
        <v>993</v>
      </c>
      <c r="B371" s="11" t="s">
        <v>911</v>
      </c>
      <c r="C371" s="11" t="s">
        <v>912</v>
      </c>
      <c r="D371" s="11" t="s">
        <v>961</v>
      </c>
      <c r="E371" s="11" t="s">
        <v>946</v>
      </c>
      <c r="F371" s="11" t="s">
        <v>37</v>
      </c>
      <c r="G371" s="11" t="s">
        <v>118</v>
      </c>
      <c r="H371" s="11" t="s">
        <v>915</v>
      </c>
      <c r="I371" s="12">
        <v>2.8479999999999999</v>
      </c>
      <c r="J371" s="11"/>
      <c r="K371" s="11" t="s">
        <v>994</v>
      </c>
      <c r="L371" s="11" t="s">
        <v>34</v>
      </c>
      <c r="M371" s="13"/>
    </row>
    <row r="372" spans="1:13" x14ac:dyDescent="0.3">
      <c r="A372" s="11" t="s">
        <v>995</v>
      </c>
      <c r="B372" s="11" t="s">
        <v>911</v>
      </c>
      <c r="C372" s="11" t="s">
        <v>912</v>
      </c>
      <c r="D372" s="11" t="s">
        <v>961</v>
      </c>
      <c r="E372" s="11" t="s">
        <v>946</v>
      </c>
      <c r="F372" s="11" t="s">
        <v>37</v>
      </c>
      <c r="G372" s="11" t="s">
        <v>125</v>
      </c>
      <c r="H372" s="11" t="s">
        <v>915</v>
      </c>
      <c r="I372" s="12">
        <v>2.8479999999999999</v>
      </c>
      <c r="J372" s="11"/>
      <c r="K372" s="11" t="s">
        <v>996</v>
      </c>
      <c r="L372" s="11" t="s">
        <v>34</v>
      </c>
      <c r="M372" s="13"/>
    </row>
    <row r="373" spans="1:13" x14ac:dyDescent="0.3">
      <c r="A373" s="11" t="s">
        <v>997</v>
      </c>
      <c r="B373" s="11" t="s">
        <v>911</v>
      </c>
      <c r="C373" s="11" t="s">
        <v>912</v>
      </c>
      <c r="D373" s="11" t="s">
        <v>961</v>
      </c>
      <c r="E373" s="11" t="s">
        <v>946</v>
      </c>
      <c r="F373" s="11" t="s">
        <v>37</v>
      </c>
      <c r="G373" s="11" t="s">
        <v>927</v>
      </c>
      <c r="H373" s="11" t="s">
        <v>915</v>
      </c>
      <c r="I373" s="12">
        <v>2.8479999999999999</v>
      </c>
      <c r="J373" s="11"/>
      <c r="K373" s="11" t="s">
        <v>998</v>
      </c>
      <c r="L373" s="11" t="s">
        <v>34</v>
      </c>
      <c r="M373" s="13"/>
    </row>
    <row r="374" spans="1:13" x14ac:dyDescent="0.3">
      <c r="A374" s="11" t="s">
        <v>999</v>
      </c>
      <c r="B374" s="11" t="s">
        <v>911</v>
      </c>
      <c r="C374" s="11" t="s">
        <v>912</v>
      </c>
      <c r="D374" s="11" t="s">
        <v>1000</v>
      </c>
      <c r="E374" s="11" t="s">
        <v>914</v>
      </c>
      <c r="F374" s="11" t="s">
        <v>37</v>
      </c>
      <c r="G374" s="11" t="s">
        <v>776</v>
      </c>
      <c r="H374" s="11" t="s">
        <v>915</v>
      </c>
      <c r="I374" s="12">
        <v>4.5510000000000002</v>
      </c>
      <c r="J374" s="11"/>
      <c r="K374" s="11" t="s">
        <v>1001</v>
      </c>
      <c r="L374" s="11" t="s">
        <v>34</v>
      </c>
      <c r="M374" s="13"/>
    </row>
    <row r="375" spans="1:13" x14ac:dyDescent="0.3">
      <c r="A375" s="11" t="s">
        <v>1002</v>
      </c>
      <c r="B375" s="11" t="s">
        <v>911</v>
      </c>
      <c r="C375" s="11" t="s">
        <v>912</v>
      </c>
      <c r="D375" s="11" t="s">
        <v>1000</v>
      </c>
      <c r="E375" s="11" t="s">
        <v>914</v>
      </c>
      <c r="F375" s="11" t="s">
        <v>37</v>
      </c>
      <c r="G375" s="11" t="s">
        <v>112</v>
      </c>
      <c r="H375" s="11" t="s">
        <v>915</v>
      </c>
      <c r="I375" s="12">
        <v>4.5510000000000002</v>
      </c>
      <c r="J375" s="11"/>
      <c r="K375" s="11" t="s">
        <v>1003</v>
      </c>
      <c r="L375" s="11" t="s">
        <v>34</v>
      </c>
      <c r="M375" s="13"/>
    </row>
    <row r="376" spans="1:13" x14ac:dyDescent="0.3">
      <c r="A376" s="11" t="s">
        <v>1004</v>
      </c>
      <c r="B376" s="11" t="s">
        <v>911</v>
      </c>
      <c r="C376" s="11" t="s">
        <v>912</v>
      </c>
      <c r="D376" s="11" t="s">
        <v>1000</v>
      </c>
      <c r="E376" s="11" t="s">
        <v>914</v>
      </c>
      <c r="F376" s="11" t="s">
        <v>37</v>
      </c>
      <c r="G376" s="11" t="s">
        <v>115</v>
      </c>
      <c r="H376" s="11" t="s">
        <v>915</v>
      </c>
      <c r="I376" s="12">
        <v>4.4969999999999999</v>
      </c>
      <c r="J376" s="11"/>
      <c r="K376" s="11" t="s">
        <v>1005</v>
      </c>
      <c r="L376" s="11" t="s">
        <v>34</v>
      </c>
      <c r="M376" s="13"/>
    </row>
    <row r="377" spans="1:13" x14ac:dyDescent="0.3">
      <c r="A377" s="11" t="s">
        <v>1006</v>
      </c>
      <c r="B377" s="11" t="s">
        <v>911</v>
      </c>
      <c r="C377" s="11" t="s">
        <v>912</v>
      </c>
      <c r="D377" s="11" t="s">
        <v>1000</v>
      </c>
      <c r="E377" s="11" t="s">
        <v>914</v>
      </c>
      <c r="F377" s="11" t="s">
        <v>37</v>
      </c>
      <c r="G377" s="11" t="s">
        <v>118</v>
      </c>
      <c r="H377" s="11" t="s">
        <v>915</v>
      </c>
      <c r="I377" s="12">
        <v>4.4969999999999999</v>
      </c>
      <c r="J377" s="11"/>
      <c r="K377" s="11" t="s">
        <v>1007</v>
      </c>
      <c r="L377" s="11" t="s">
        <v>34</v>
      </c>
      <c r="M377" s="13"/>
    </row>
    <row r="378" spans="1:13" x14ac:dyDescent="0.3">
      <c r="A378" s="11" t="s">
        <v>1008</v>
      </c>
      <c r="B378" s="11" t="s">
        <v>911</v>
      </c>
      <c r="C378" s="11" t="s">
        <v>912</v>
      </c>
      <c r="D378" s="11" t="s">
        <v>1000</v>
      </c>
      <c r="E378" s="11" t="s">
        <v>914</v>
      </c>
      <c r="F378" s="11" t="s">
        <v>37</v>
      </c>
      <c r="G378" s="11" t="s">
        <v>125</v>
      </c>
      <c r="H378" s="11" t="s">
        <v>915</v>
      </c>
      <c r="I378" s="12">
        <v>4.4969999999999999</v>
      </c>
      <c r="J378" s="11"/>
      <c r="K378" s="11" t="s">
        <v>1009</v>
      </c>
      <c r="L378" s="11" t="s">
        <v>34</v>
      </c>
      <c r="M378" s="13"/>
    </row>
    <row r="379" spans="1:13" x14ac:dyDescent="0.3">
      <c r="A379" s="11" t="s">
        <v>1010</v>
      </c>
      <c r="B379" s="11" t="s">
        <v>911</v>
      </c>
      <c r="C379" s="11" t="s">
        <v>912</v>
      </c>
      <c r="D379" s="11" t="s">
        <v>1000</v>
      </c>
      <c r="E379" s="11" t="s">
        <v>914</v>
      </c>
      <c r="F379" s="11" t="s">
        <v>37</v>
      </c>
      <c r="G379" s="11" t="s">
        <v>927</v>
      </c>
      <c r="H379" s="11" t="s">
        <v>915</v>
      </c>
      <c r="I379" s="12">
        <v>4.4969999999999999</v>
      </c>
      <c r="J379" s="11"/>
      <c r="K379" s="11" t="s">
        <v>1011</v>
      </c>
      <c r="L379" s="11" t="s">
        <v>34</v>
      </c>
      <c r="M379" s="13"/>
    </row>
    <row r="380" spans="1:13" x14ac:dyDescent="0.3">
      <c r="A380" s="11" t="s">
        <v>1012</v>
      </c>
      <c r="B380" s="11" t="s">
        <v>911</v>
      </c>
      <c r="C380" s="11" t="s">
        <v>912</v>
      </c>
      <c r="D380" s="11" t="s">
        <v>1013</v>
      </c>
      <c r="E380" s="11" t="s">
        <v>914</v>
      </c>
      <c r="F380" s="11" t="s">
        <v>37</v>
      </c>
      <c r="G380" s="11" t="s">
        <v>776</v>
      </c>
      <c r="H380" s="11" t="s">
        <v>915</v>
      </c>
      <c r="I380" s="12">
        <v>5.577</v>
      </c>
      <c r="J380" s="11"/>
      <c r="K380" s="11" t="s">
        <v>1014</v>
      </c>
      <c r="L380" s="11" t="s">
        <v>34</v>
      </c>
      <c r="M380" s="13"/>
    </row>
    <row r="381" spans="1:13" x14ac:dyDescent="0.3">
      <c r="A381" s="11" t="s">
        <v>1015</v>
      </c>
      <c r="B381" s="11" t="s">
        <v>911</v>
      </c>
      <c r="C381" s="11" t="s">
        <v>912</v>
      </c>
      <c r="D381" s="11" t="s">
        <v>1013</v>
      </c>
      <c r="E381" s="11" t="s">
        <v>914</v>
      </c>
      <c r="F381" s="11" t="s">
        <v>37</v>
      </c>
      <c r="G381" s="11" t="s">
        <v>112</v>
      </c>
      <c r="H381" s="11" t="s">
        <v>915</v>
      </c>
      <c r="I381" s="12">
        <v>5.577</v>
      </c>
      <c r="J381" s="11"/>
      <c r="K381" s="11" t="s">
        <v>1016</v>
      </c>
      <c r="L381" s="11" t="s">
        <v>34</v>
      </c>
      <c r="M381" s="13"/>
    </row>
    <row r="382" spans="1:13" x14ac:dyDescent="0.3">
      <c r="A382" s="11" t="s">
        <v>1017</v>
      </c>
      <c r="B382" s="11" t="s">
        <v>911</v>
      </c>
      <c r="C382" s="11" t="s">
        <v>912</v>
      </c>
      <c r="D382" s="11" t="s">
        <v>1013</v>
      </c>
      <c r="E382" s="11" t="s">
        <v>914</v>
      </c>
      <c r="F382" s="11" t="s">
        <v>37</v>
      </c>
      <c r="G382" s="11" t="s">
        <v>115</v>
      </c>
      <c r="H382" s="11" t="s">
        <v>915</v>
      </c>
      <c r="I382" s="12">
        <v>5.5229999999999997</v>
      </c>
      <c r="J382" s="11"/>
      <c r="K382" s="11" t="s">
        <v>1018</v>
      </c>
      <c r="L382" s="11" t="s">
        <v>34</v>
      </c>
      <c r="M382" s="13"/>
    </row>
    <row r="383" spans="1:13" x14ac:dyDescent="0.3">
      <c r="A383" s="11" t="s">
        <v>1019</v>
      </c>
      <c r="B383" s="11" t="s">
        <v>911</v>
      </c>
      <c r="C383" s="11" t="s">
        <v>912</v>
      </c>
      <c r="D383" s="11" t="s">
        <v>1013</v>
      </c>
      <c r="E383" s="11" t="s">
        <v>914</v>
      </c>
      <c r="F383" s="11" t="s">
        <v>37</v>
      </c>
      <c r="G383" s="11" t="s">
        <v>118</v>
      </c>
      <c r="H383" s="11" t="s">
        <v>915</v>
      </c>
      <c r="I383" s="12">
        <v>5.5229999999999997</v>
      </c>
      <c r="J383" s="11"/>
      <c r="K383" s="11" t="s">
        <v>1020</v>
      </c>
      <c r="L383" s="11" t="s">
        <v>34</v>
      </c>
      <c r="M383" s="13"/>
    </row>
    <row r="384" spans="1:13" x14ac:dyDescent="0.3">
      <c r="A384" s="11" t="s">
        <v>1021</v>
      </c>
      <c r="B384" s="11" t="s">
        <v>911</v>
      </c>
      <c r="C384" s="11" t="s">
        <v>912</v>
      </c>
      <c r="D384" s="11" t="s">
        <v>1013</v>
      </c>
      <c r="E384" s="11" t="s">
        <v>914</v>
      </c>
      <c r="F384" s="11" t="s">
        <v>37</v>
      </c>
      <c r="G384" s="11" t="s">
        <v>125</v>
      </c>
      <c r="H384" s="11" t="s">
        <v>915</v>
      </c>
      <c r="I384" s="12">
        <v>5.5229999999999997</v>
      </c>
      <c r="J384" s="11"/>
      <c r="K384" s="11" t="s">
        <v>1022</v>
      </c>
      <c r="L384" s="11" t="s">
        <v>34</v>
      </c>
      <c r="M384" s="13"/>
    </row>
    <row r="385" spans="1:13" x14ac:dyDescent="0.3">
      <c r="A385" s="11" t="s">
        <v>1023</v>
      </c>
      <c r="B385" s="11" t="s">
        <v>911</v>
      </c>
      <c r="C385" s="11" t="s">
        <v>912</v>
      </c>
      <c r="D385" s="11" t="s">
        <v>1013</v>
      </c>
      <c r="E385" s="11" t="s">
        <v>914</v>
      </c>
      <c r="F385" s="11" t="s">
        <v>37</v>
      </c>
      <c r="G385" s="11" t="s">
        <v>927</v>
      </c>
      <c r="H385" s="11" t="s">
        <v>915</v>
      </c>
      <c r="I385" s="12">
        <v>5.5229999999999997</v>
      </c>
      <c r="J385" s="11"/>
      <c r="K385" s="11" t="s">
        <v>1024</v>
      </c>
      <c r="L385" s="11" t="s">
        <v>34</v>
      </c>
      <c r="M385" s="13"/>
    </row>
    <row r="386" spans="1:13" x14ac:dyDescent="0.3">
      <c r="A386" s="11" t="s">
        <v>1025</v>
      </c>
      <c r="B386" s="11" t="s">
        <v>911</v>
      </c>
      <c r="C386" s="11" t="s">
        <v>912</v>
      </c>
      <c r="D386" s="11" t="s">
        <v>1013</v>
      </c>
      <c r="E386" s="11" t="s">
        <v>914</v>
      </c>
      <c r="F386" s="11" t="s">
        <v>31</v>
      </c>
      <c r="G386" s="11" t="s">
        <v>943</v>
      </c>
      <c r="H386" s="11"/>
      <c r="I386" s="12">
        <v>5.577</v>
      </c>
      <c r="J386" s="11"/>
      <c r="K386" s="11" t="s">
        <v>1026</v>
      </c>
      <c r="L386" s="11" t="s">
        <v>34</v>
      </c>
      <c r="M386" s="13"/>
    </row>
    <row r="387" spans="1:13" x14ac:dyDescent="0.3">
      <c r="A387" s="11" t="s">
        <v>1027</v>
      </c>
      <c r="B387" s="11" t="s">
        <v>911</v>
      </c>
      <c r="C387" s="11" t="s">
        <v>912</v>
      </c>
      <c r="D387" s="11" t="s">
        <v>1013</v>
      </c>
      <c r="E387" s="11" t="s">
        <v>930</v>
      </c>
      <c r="F387" s="11" t="s">
        <v>37</v>
      </c>
      <c r="G387" s="11" t="s">
        <v>776</v>
      </c>
      <c r="H387" s="11" t="s">
        <v>915</v>
      </c>
      <c r="I387" s="12">
        <v>3.69</v>
      </c>
      <c r="J387" s="11"/>
      <c r="K387" s="11" t="s">
        <v>1028</v>
      </c>
      <c r="L387" s="11" t="s">
        <v>34</v>
      </c>
      <c r="M387" s="13"/>
    </row>
    <row r="388" spans="1:13" x14ac:dyDescent="0.3">
      <c r="A388" s="11" t="s">
        <v>1029</v>
      </c>
      <c r="B388" s="11" t="s">
        <v>911</v>
      </c>
      <c r="C388" s="11" t="s">
        <v>912</v>
      </c>
      <c r="D388" s="11" t="s">
        <v>1013</v>
      </c>
      <c r="E388" s="11" t="s">
        <v>930</v>
      </c>
      <c r="F388" s="11" t="s">
        <v>37</v>
      </c>
      <c r="G388" s="11" t="s">
        <v>112</v>
      </c>
      <c r="H388" s="11" t="s">
        <v>915</v>
      </c>
      <c r="I388" s="12">
        <v>3.69</v>
      </c>
      <c r="J388" s="11"/>
      <c r="K388" s="11" t="s">
        <v>1030</v>
      </c>
      <c r="L388" s="11" t="s">
        <v>34</v>
      </c>
      <c r="M388" s="13"/>
    </row>
    <row r="389" spans="1:13" x14ac:dyDescent="0.3">
      <c r="A389" s="11" t="s">
        <v>1031</v>
      </c>
      <c r="B389" s="11" t="s">
        <v>911</v>
      </c>
      <c r="C389" s="11" t="s">
        <v>912</v>
      </c>
      <c r="D389" s="11" t="s">
        <v>1013</v>
      </c>
      <c r="E389" s="11" t="s">
        <v>930</v>
      </c>
      <c r="F389" s="11" t="s">
        <v>37</v>
      </c>
      <c r="G389" s="11" t="s">
        <v>115</v>
      </c>
      <c r="H389" s="11" t="s">
        <v>915</v>
      </c>
      <c r="I389" s="12">
        <v>3.3050000000000002</v>
      </c>
      <c r="J389" s="11"/>
      <c r="K389" s="11" t="s">
        <v>1032</v>
      </c>
      <c r="L389" s="11" t="s">
        <v>34</v>
      </c>
      <c r="M389" s="13"/>
    </row>
    <row r="390" spans="1:13" x14ac:dyDescent="0.3">
      <c r="A390" s="11" t="s">
        <v>1033</v>
      </c>
      <c r="B390" s="11" t="s">
        <v>911</v>
      </c>
      <c r="C390" s="11" t="s">
        <v>912</v>
      </c>
      <c r="D390" s="11" t="s">
        <v>1013</v>
      </c>
      <c r="E390" s="11" t="s">
        <v>930</v>
      </c>
      <c r="F390" s="11" t="s">
        <v>37</v>
      </c>
      <c r="G390" s="11" t="s">
        <v>118</v>
      </c>
      <c r="H390" s="11" t="s">
        <v>915</v>
      </c>
      <c r="I390" s="12">
        <v>3.3050000000000002</v>
      </c>
      <c r="J390" s="11"/>
      <c r="K390" s="11" t="s">
        <v>1034</v>
      </c>
      <c r="L390" s="11" t="s">
        <v>34</v>
      </c>
      <c r="M390" s="13"/>
    </row>
    <row r="391" spans="1:13" x14ac:dyDescent="0.3">
      <c r="A391" s="11" t="s">
        <v>1035</v>
      </c>
      <c r="B391" s="11" t="s">
        <v>911</v>
      </c>
      <c r="C391" s="11" t="s">
        <v>912</v>
      </c>
      <c r="D391" s="11" t="s">
        <v>1013</v>
      </c>
      <c r="E391" s="11" t="s">
        <v>930</v>
      </c>
      <c r="F391" s="11" t="s">
        <v>37</v>
      </c>
      <c r="G391" s="11" t="s">
        <v>125</v>
      </c>
      <c r="H391" s="11" t="s">
        <v>915</v>
      </c>
      <c r="I391" s="12">
        <v>3.2280000000000002</v>
      </c>
      <c r="J391" s="11"/>
      <c r="K391" s="11" t="s">
        <v>1036</v>
      </c>
      <c r="L391" s="11" t="s">
        <v>34</v>
      </c>
      <c r="M391" s="13"/>
    </row>
    <row r="392" spans="1:13" x14ac:dyDescent="0.3">
      <c r="A392" s="11" t="s">
        <v>1037</v>
      </c>
      <c r="B392" s="11" t="s">
        <v>911</v>
      </c>
      <c r="C392" s="11" t="s">
        <v>912</v>
      </c>
      <c r="D392" s="11" t="s">
        <v>1013</v>
      </c>
      <c r="E392" s="11" t="s">
        <v>930</v>
      </c>
      <c r="F392" s="11" t="s">
        <v>37</v>
      </c>
      <c r="G392" s="11" t="s">
        <v>927</v>
      </c>
      <c r="H392" s="11" t="s">
        <v>915</v>
      </c>
      <c r="I392" s="12">
        <v>3.2280000000000002</v>
      </c>
      <c r="J392" s="11"/>
      <c r="K392" s="11" t="s">
        <v>1038</v>
      </c>
      <c r="L392" s="11" t="s">
        <v>34</v>
      </c>
      <c r="M392" s="13"/>
    </row>
    <row r="393" spans="1:13" x14ac:dyDescent="0.3">
      <c r="A393" s="11" t="s">
        <v>1039</v>
      </c>
      <c r="B393" s="11" t="s">
        <v>911</v>
      </c>
      <c r="C393" s="11" t="s">
        <v>912</v>
      </c>
      <c r="D393" s="11" t="s">
        <v>1013</v>
      </c>
      <c r="E393" s="11" t="s">
        <v>930</v>
      </c>
      <c r="F393" s="11" t="s">
        <v>31</v>
      </c>
      <c r="G393" s="11" t="s">
        <v>943</v>
      </c>
      <c r="H393" s="11"/>
      <c r="I393" s="12">
        <v>3.69</v>
      </c>
      <c r="J393" s="11"/>
      <c r="K393" s="11" t="s">
        <v>1040</v>
      </c>
      <c r="L393" s="11" t="s">
        <v>34</v>
      </c>
      <c r="M393" s="13"/>
    </row>
    <row r="394" spans="1:13" x14ac:dyDescent="0.3">
      <c r="A394" s="11" t="s">
        <v>1041</v>
      </c>
      <c r="B394" s="11" t="s">
        <v>911</v>
      </c>
      <c r="C394" s="11" t="s">
        <v>912</v>
      </c>
      <c r="D394" s="11" t="s">
        <v>1013</v>
      </c>
      <c r="E394" s="11" t="s">
        <v>946</v>
      </c>
      <c r="F394" s="11" t="s">
        <v>37</v>
      </c>
      <c r="G394" s="11" t="s">
        <v>776</v>
      </c>
      <c r="H394" s="11" t="s">
        <v>915</v>
      </c>
      <c r="I394" s="12">
        <v>2.9660000000000002</v>
      </c>
      <c r="J394" s="11"/>
      <c r="K394" s="11" t="s">
        <v>1042</v>
      </c>
      <c r="L394" s="11" t="s">
        <v>34</v>
      </c>
      <c r="M394" s="13"/>
    </row>
    <row r="395" spans="1:13" x14ac:dyDescent="0.3">
      <c r="A395" s="11" t="s">
        <v>1043</v>
      </c>
      <c r="B395" s="11" t="s">
        <v>911</v>
      </c>
      <c r="C395" s="11" t="s">
        <v>912</v>
      </c>
      <c r="D395" s="11" t="s">
        <v>1013</v>
      </c>
      <c r="E395" s="11" t="s">
        <v>946</v>
      </c>
      <c r="F395" s="11" t="s">
        <v>37</v>
      </c>
      <c r="G395" s="11" t="s">
        <v>112</v>
      </c>
      <c r="H395" s="11" t="s">
        <v>915</v>
      </c>
      <c r="I395" s="12">
        <v>2.9660000000000002</v>
      </c>
      <c r="J395" s="11"/>
      <c r="K395" s="11" t="s">
        <v>1044</v>
      </c>
      <c r="L395" s="11" t="s">
        <v>34</v>
      </c>
      <c r="M395" s="13"/>
    </row>
    <row r="396" spans="1:13" x14ac:dyDescent="0.3">
      <c r="A396" s="11" t="s">
        <v>1045</v>
      </c>
      <c r="B396" s="11" t="s">
        <v>911</v>
      </c>
      <c r="C396" s="11" t="s">
        <v>912</v>
      </c>
      <c r="D396" s="11" t="s">
        <v>1013</v>
      </c>
      <c r="E396" s="11" t="s">
        <v>946</v>
      </c>
      <c r="F396" s="11" t="s">
        <v>37</v>
      </c>
      <c r="G396" s="11" t="s">
        <v>115</v>
      </c>
      <c r="H396" s="11" t="s">
        <v>915</v>
      </c>
      <c r="I396" s="12">
        <v>2.6429999999999998</v>
      </c>
      <c r="J396" s="11"/>
      <c r="K396" s="11" t="s">
        <v>1046</v>
      </c>
      <c r="L396" s="11" t="s">
        <v>34</v>
      </c>
      <c r="M396" s="13"/>
    </row>
    <row r="397" spans="1:13" x14ac:dyDescent="0.3">
      <c r="A397" s="11" t="s">
        <v>1047</v>
      </c>
      <c r="B397" s="11" t="s">
        <v>911</v>
      </c>
      <c r="C397" s="11" t="s">
        <v>912</v>
      </c>
      <c r="D397" s="11" t="s">
        <v>1013</v>
      </c>
      <c r="E397" s="11" t="s">
        <v>946</v>
      </c>
      <c r="F397" s="11" t="s">
        <v>37</v>
      </c>
      <c r="G397" s="11" t="s">
        <v>118</v>
      </c>
      <c r="H397" s="11" t="s">
        <v>915</v>
      </c>
      <c r="I397" s="12">
        <v>2.6429999999999998</v>
      </c>
      <c r="J397" s="11"/>
      <c r="K397" s="11" t="s">
        <v>1048</v>
      </c>
      <c r="L397" s="11" t="s">
        <v>34</v>
      </c>
      <c r="M397" s="13"/>
    </row>
    <row r="398" spans="1:13" x14ac:dyDescent="0.3">
      <c r="A398" s="11" t="s">
        <v>1049</v>
      </c>
      <c r="B398" s="11" t="s">
        <v>911</v>
      </c>
      <c r="C398" s="11" t="s">
        <v>912</v>
      </c>
      <c r="D398" s="11" t="s">
        <v>1013</v>
      </c>
      <c r="E398" s="11" t="s">
        <v>946</v>
      </c>
      <c r="F398" s="11" t="s">
        <v>37</v>
      </c>
      <c r="G398" s="11" t="s">
        <v>125</v>
      </c>
      <c r="H398" s="11" t="s">
        <v>915</v>
      </c>
      <c r="I398" s="12">
        <v>2.6429999999999998</v>
      </c>
      <c r="J398" s="11"/>
      <c r="K398" s="11" t="s">
        <v>1050</v>
      </c>
      <c r="L398" s="11" t="s">
        <v>34</v>
      </c>
      <c r="M398" s="13"/>
    </row>
    <row r="399" spans="1:13" x14ac:dyDescent="0.3">
      <c r="A399" s="11" t="s">
        <v>1051</v>
      </c>
      <c r="B399" s="11" t="s">
        <v>911</v>
      </c>
      <c r="C399" s="11" t="s">
        <v>912</v>
      </c>
      <c r="D399" s="11" t="s">
        <v>1013</v>
      </c>
      <c r="E399" s="11" t="s">
        <v>946</v>
      </c>
      <c r="F399" s="11" t="s">
        <v>37</v>
      </c>
      <c r="G399" s="11" t="s">
        <v>927</v>
      </c>
      <c r="H399" s="11" t="s">
        <v>915</v>
      </c>
      <c r="I399" s="12">
        <v>2.6429999999999998</v>
      </c>
      <c r="J399" s="11"/>
      <c r="K399" s="11" t="s">
        <v>1052</v>
      </c>
      <c r="L399" s="11" t="s">
        <v>34</v>
      </c>
      <c r="M399" s="13"/>
    </row>
    <row r="400" spans="1:13" x14ac:dyDescent="0.3">
      <c r="A400" s="11" t="s">
        <v>1053</v>
      </c>
      <c r="B400" s="11" t="s">
        <v>911</v>
      </c>
      <c r="C400" s="11" t="s">
        <v>912</v>
      </c>
      <c r="D400" s="11" t="s">
        <v>1013</v>
      </c>
      <c r="E400" s="11" t="s">
        <v>946</v>
      </c>
      <c r="F400" s="11" t="s">
        <v>31</v>
      </c>
      <c r="G400" s="11" t="s">
        <v>943</v>
      </c>
      <c r="H400" s="11"/>
      <c r="I400" s="12">
        <v>2.9660000000000002</v>
      </c>
      <c r="J400" s="11"/>
      <c r="K400" s="11" t="s">
        <v>1054</v>
      </c>
      <c r="L400" s="11" t="s">
        <v>34</v>
      </c>
      <c r="M400" s="13"/>
    </row>
    <row r="401" spans="1:13" x14ac:dyDescent="0.3">
      <c r="A401" s="11" t="s">
        <v>1055</v>
      </c>
      <c r="B401" s="11" t="s">
        <v>911</v>
      </c>
      <c r="C401" s="11" t="s">
        <v>912</v>
      </c>
      <c r="D401" s="11" t="s">
        <v>1056</v>
      </c>
      <c r="E401" s="11" t="s">
        <v>914</v>
      </c>
      <c r="F401" s="11" t="s">
        <v>37</v>
      </c>
      <c r="G401" s="11" t="s">
        <v>776</v>
      </c>
      <c r="H401" s="11" t="s">
        <v>915</v>
      </c>
      <c r="I401" s="12">
        <v>5.0110000000000001</v>
      </c>
      <c r="J401" s="11"/>
      <c r="K401" s="11" t="s">
        <v>1057</v>
      </c>
      <c r="L401" s="11" t="s">
        <v>34</v>
      </c>
      <c r="M401" s="13" t="s">
        <v>656</v>
      </c>
    </row>
    <row r="402" spans="1:13" x14ac:dyDescent="0.3">
      <c r="A402" s="11" t="s">
        <v>1058</v>
      </c>
      <c r="B402" s="11" t="s">
        <v>911</v>
      </c>
      <c r="C402" s="11" t="s">
        <v>912</v>
      </c>
      <c r="D402" s="11" t="s">
        <v>1056</v>
      </c>
      <c r="E402" s="11" t="s">
        <v>914</v>
      </c>
      <c r="F402" s="11" t="s">
        <v>37</v>
      </c>
      <c r="G402" s="11" t="s">
        <v>112</v>
      </c>
      <c r="H402" s="11" t="s">
        <v>915</v>
      </c>
      <c r="I402" s="12">
        <v>5.0110000000000001</v>
      </c>
      <c r="J402" s="11"/>
      <c r="K402" s="11" t="s">
        <v>1059</v>
      </c>
      <c r="L402" s="11" t="s">
        <v>34</v>
      </c>
      <c r="M402" s="13" t="s">
        <v>656</v>
      </c>
    </row>
    <row r="403" spans="1:13" x14ac:dyDescent="0.3">
      <c r="A403" s="11" t="s">
        <v>1060</v>
      </c>
      <c r="B403" s="11" t="s">
        <v>911</v>
      </c>
      <c r="C403" s="11" t="s">
        <v>912</v>
      </c>
      <c r="D403" s="11" t="s">
        <v>1056</v>
      </c>
      <c r="E403" s="11" t="s">
        <v>914</v>
      </c>
      <c r="F403" s="11" t="s">
        <v>37</v>
      </c>
      <c r="G403" s="11" t="s">
        <v>115</v>
      </c>
      <c r="H403" s="11" t="s">
        <v>915</v>
      </c>
      <c r="I403" s="12">
        <v>5.2720000000000002</v>
      </c>
      <c r="J403" s="11"/>
      <c r="K403" s="11" t="s">
        <v>1061</v>
      </c>
      <c r="L403" s="11" t="s">
        <v>34</v>
      </c>
      <c r="M403" s="13" t="s">
        <v>656</v>
      </c>
    </row>
    <row r="404" spans="1:13" x14ac:dyDescent="0.3">
      <c r="A404" s="11" t="s">
        <v>1062</v>
      </c>
      <c r="B404" s="11" t="s">
        <v>911</v>
      </c>
      <c r="C404" s="11" t="s">
        <v>912</v>
      </c>
      <c r="D404" s="11" t="s">
        <v>1056</v>
      </c>
      <c r="E404" s="11" t="s">
        <v>914</v>
      </c>
      <c r="F404" s="11" t="s">
        <v>37</v>
      </c>
      <c r="G404" s="11" t="s">
        <v>118</v>
      </c>
      <c r="H404" s="11" t="s">
        <v>915</v>
      </c>
      <c r="I404" s="12">
        <v>5.2720000000000002</v>
      </c>
      <c r="J404" s="11"/>
      <c r="K404" s="11" t="s">
        <v>1063</v>
      </c>
      <c r="L404" s="11" t="s">
        <v>34</v>
      </c>
      <c r="M404" s="13" t="s">
        <v>656</v>
      </c>
    </row>
    <row r="405" spans="1:13" x14ac:dyDescent="0.3">
      <c r="A405" s="11" t="s">
        <v>1064</v>
      </c>
      <c r="B405" s="11" t="s">
        <v>911</v>
      </c>
      <c r="C405" s="11" t="s">
        <v>912</v>
      </c>
      <c r="D405" s="11" t="s">
        <v>1056</v>
      </c>
      <c r="E405" s="11" t="s">
        <v>914</v>
      </c>
      <c r="F405" s="11" t="s">
        <v>37</v>
      </c>
      <c r="G405" s="11" t="s">
        <v>125</v>
      </c>
      <c r="H405" s="11" t="s">
        <v>915</v>
      </c>
      <c r="I405" s="12">
        <v>5.2720000000000002</v>
      </c>
      <c r="J405" s="11"/>
      <c r="K405" s="11" t="s">
        <v>1065</v>
      </c>
      <c r="L405" s="11" t="s">
        <v>34</v>
      </c>
      <c r="M405" s="13" t="s">
        <v>656</v>
      </c>
    </row>
    <row r="406" spans="1:13" x14ac:dyDescent="0.3">
      <c r="A406" s="11" t="s">
        <v>1066</v>
      </c>
      <c r="B406" s="11" t="s">
        <v>911</v>
      </c>
      <c r="C406" s="11" t="s">
        <v>912</v>
      </c>
      <c r="D406" s="11" t="s">
        <v>1056</v>
      </c>
      <c r="E406" s="11" t="s">
        <v>914</v>
      </c>
      <c r="F406" s="11" t="s">
        <v>37</v>
      </c>
      <c r="G406" s="11" t="s">
        <v>927</v>
      </c>
      <c r="H406" s="11" t="s">
        <v>915</v>
      </c>
      <c r="I406" s="12">
        <v>5.2720000000000002</v>
      </c>
      <c r="J406" s="11"/>
      <c r="K406" s="11" t="s">
        <v>1067</v>
      </c>
      <c r="L406" s="11" t="s">
        <v>34</v>
      </c>
      <c r="M406" s="13" t="s">
        <v>656</v>
      </c>
    </row>
    <row r="407" spans="1:13" x14ac:dyDescent="0.3">
      <c r="A407" s="11" t="s">
        <v>1068</v>
      </c>
      <c r="B407" s="11" t="s">
        <v>911</v>
      </c>
      <c r="C407" s="11" t="s">
        <v>912</v>
      </c>
      <c r="D407" s="11" t="s">
        <v>1056</v>
      </c>
      <c r="E407" s="11" t="s">
        <v>930</v>
      </c>
      <c r="F407" s="11" t="s">
        <v>37</v>
      </c>
      <c r="G407" s="11" t="s">
        <v>112</v>
      </c>
      <c r="H407" s="11" t="s">
        <v>915</v>
      </c>
      <c r="I407" s="12">
        <v>3.1240000000000001</v>
      </c>
      <c r="J407" s="11"/>
      <c r="K407" s="11" t="s">
        <v>1069</v>
      </c>
      <c r="L407" s="11" t="s">
        <v>34</v>
      </c>
      <c r="M407" s="13" t="s">
        <v>656</v>
      </c>
    </row>
    <row r="408" spans="1:13" x14ac:dyDescent="0.3">
      <c r="A408" s="11" t="s">
        <v>1070</v>
      </c>
      <c r="B408" s="11" t="s">
        <v>911</v>
      </c>
      <c r="C408" s="11" t="s">
        <v>912</v>
      </c>
      <c r="D408" s="11" t="s">
        <v>1056</v>
      </c>
      <c r="E408" s="11" t="s">
        <v>930</v>
      </c>
      <c r="F408" s="11" t="s">
        <v>37</v>
      </c>
      <c r="G408" s="11" t="s">
        <v>115</v>
      </c>
      <c r="H408" s="11" t="s">
        <v>915</v>
      </c>
      <c r="I408" s="12">
        <v>3.0539999999999998</v>
      </c>
      <c r="J408" s="11"/>
      <c r="K408" s="11" t="s">
        <v>1071</v>
      </c>
      <c r="L408" s="11" t="s">
        <v>34</v>
      </c>
      <c r="M408" s="13" t="s">
        <v>656</v>
      </c>
    </row>
    <row r="409" spans="1:13" x14ac:dyDescent="0.3">
      <c r="A409" s="11" t="s">
        <v>1072</v>
      </c>
      <c r="B409" s="11" t="s">
        <v>911</v>
      </c>
      <c r="C409" s="11" t="s">
        <v>912</v>
      </c>
      <c r="D409" s="11" t="s">
        <v>1056</v>
      </c>
      <c r="E409" s="11" t="s">
        <v>930</v>
      </c>
      <c r="F409" s="11" t="s">
        <v>37</v>
      </c>
      <c r="G409" s="11" t="s">
        <v>118</v>
      </c>
      <c r="H409" s="11" t="s">
        <v>915</v>
      </c>
      <c r="I409" s="12">
        <v>3.0539999999999998</v>
      </c>
      <c r="J409" s="11"/>
      <c r="K409" s="11" t="s">
        <v>1073</v>
      </c>
      <c r="L409" s="11" t="s">
        <v>34</v>
      </c>
      <c r="M409" s="13" t="s">
        <v>656</v>
      </c>
    </row>
    <row r="410" spans="1:13" x14ac:dyDescent="0.3">
      <c r="A410" s="11" t="s">
        <v>1074</v>
      </c>
      <c r="B410" s="11" t="s">
        <v>911</v>
      </c>
      <c r="C410" s="11" t="s">
        <v>912</v>
      </c>
      <c r="D410" s="11" t="s">
        <v>1056</v>
      </c>
      <c r="E410" s="11" t="s">
        <v>930</v>
      </c>
      <c r="F410" s="11" t="s">
        <v>37</v>
      </c>
      <c r="G410" s="11" t="s">
        <v>125</v>
      </c>
      <c r="H410" s="11" t="s">
        <v>915</v>
      </c>
      <c r="I410" s="12">
        <v>2.9769999999999999</v>
      </c>
      <c r="J410" s="11"/>
      <c r="K410" s="11" t="s">
        <v>1075</v>
      </c>
      <c r="L410" s="11" t="s">
        <v>34</v>
      </c>
      <c r="M410" s="13" t="s">
        <v>656</v>
      </c>
    </row>
    <row r="411" spans="1:13" x14ac:dyDescent="0.3">
      <c r="A411" s="11" t="s">
        <v>1076</v>
      </c>
      <c r="B411" s="11" t="s">
        <v>911</v>
      </c>
      <c r="C411" s="11" t="s">
        <v>912</v>
      </c>
      <c r="D411" s="11" t="s">
        <v>1056</v>
      </c>
      <c r="E411" s="11" t="s">
        <v>930</v>
      </c>
      <c r="F411" s="11" t="s">
        <v>37</v>
      </c>
      <c r="G411" s="11" t="s">
        <v>927</v>
      </c>
      <c r="H411" s="11" t="s">
        <v>915</v>
      </c>
      <c r="I411" s="12">
        <v>2.9769999999999999</v>
      </c>
      <c r="J411" s="11"/>
      <c r="K411" s="11" t="s">
        <v>1077</v>
      </c>
      <c r="L411" s="11" t="s">
        <v>34</v>
      </c>
      <c r="M411" s="13" t="s">
        <v>656</v>
      </c>
    </row>
    <row r="412" spans="1:13" x14ac:dyDescent="0.3">
      <c r="A412" s="11" t="s">
        <v>1078</v>
      </c>
      <c r="B412" s="11" t="s">
        <v>911</v>
      </c>
      <c r="C412" s="11" t="s">
        <v>912</v>
      </c>
      <c r="D412" s="11" t="s">
        <v>1056</v>
      </c>
      <c r="E412" s="11" t="s">
        <v>930</v>
      </c>
      <c r="F412" s="11" t="s">
        <v>31</v>
      </c>
      <c r="G412" s="11" t="s">
        <v>943</v>
      </c>
      <c r="H412" s="11"/>
      <c r="I412" s="12">
        <v>3.1240000000000001</v>
      </c>
      <c r="J412" s="11"/>
      <c r="K412" s="11" t="s">
        <v>1079</v>
      </c>
      <c r="L412" s="11" t="s">
        <v>34</v>
      </c>
      <c r="M412" s="13" t="s">
        <v>656</v>
      </c>
    </row>
    <row r="413" spans="1:13" x14ac:dyDescent="0.3">
      <c r="A413" s="11" t="s">
        <v>1080</v>
      </c>
      <c r="B413" s="11" t="s">
        <v>911</v>
      </c>
      <c r="C413" s="11" t="s">
        <v>912</v>
      </c>
      <c r="D413" s="11" t="s">
        <v>1056</v>
      </c>
      <c r="E413" s="11" t="s">
        <v>946</v>
      </c>
      <c r="F413" s="11" t="s">
        <v>37</v>
      </c>
      <c r="G413" s="11" t="s">
        <v>776</v>
      </c>
      <c r="H413" s="11" t="s">
        <v>915</v>
      </c>
      <c r="I413" s="12">
        <v>2.4009999999999998</v>
      </c>
      <c r="J413" s="11"/>
      <c r="K413" s="11" t="s">
        <v>1081</v>
      </c>
      <c r="L413" s="11" t="s">
        <v>34</v>
      </c>
      <c r="M413" s="13" t="s">
        <v>656</v>
      </c>
    </row>
    <row r="414" spans="1:13" x14ac:dyDescent="0.3">
      <c r="A414" s="11" t="s">
        <v>1082</v>
      </c>
      <c r="B414" s="11" t="s">
        <v>911</v>
      </c>
      <c r="C414" s="11" t="s">
        <v>912</v>
      </c>
      <c r="D414" s="11" t="s">
        <v>1056</v>
      </c>
      <c r="E414" s="11" t="s">
        <v>946</v>
      </c>
      <c r="F414" s="11" t="s">
        <v>37</v>
      </c>
      <c r="G414" s="11" t="s">
        <v>112</v>
      </c>
      <c r="H414" s="11" t="s">
        <v>915</v>
      </c>
      <c r="I414" s="12">
        <v>2.4009999999999998</v>
      </c>
      <c r="J414" s="11"/>
      <c r="K414" s="11" t="s">
        <v>1083</v>
      </c>
      <c r="L414" s="11" t="s">
        <v>34</v>
      </c>
      <c r="M414" s="13" t="s">
        <v>656</v>
      </c>
    </row>
    <row r="415" spans="1:13" x14ac:dyDescent="0.3">
      <c r="A415" s="11" t="s">
        <v>1084</v>
      </c>
      <c r="B415" s="11" t="s">
        <v>911</v>
      </c>
      <c r="C415" s="11" t="s">
        <v>912</v>
      </c>
      <c r="D415" s="11" t="s">
        <v>1056</v>
      </c>
      <c r="E415" s="11" t="s">
        <v>946</v>
      </c>
      <c r="F415" s="11" t="s">
        <v>37</v>
      </c>
      <c r="G415" s="11" t="s">
        <v>115</v>
      </c>
      <c r="H415" s="11" t="s">
        <v>915</v>
      </c>
      <c r="I415" s="12">
        <v>2.3919999999999999</v>
      </c>
      <c r="J415" s="11"/>
      <c r="K415" s="11" t="s">
        <v>1085</v>
      </c>
      <c r="L415" s="11" t="s">
        <v>34</v>
      </c>
      <c r="M415" s="13" t="s">
        <v>656</v>
      </c>
    </row>
    <row r="416" spans="1:13" x14ac:dyDescent="0.3">
      <c r="A416" s="11" t="s">
        <v>1086</v>
      </c>
      <c r="B416" s="11" t="s">
        <v>911</v>
      </c>
      <c r="C416" s="11" t="s">
        <v>912</v>
      </c>
      <c r="D416" s="11" t="s">
        <v>1056</v>
      </c>
      <c r="E416" s="11" t="s">
        <v>946</v>
      </c>
      <c r="F416" s="11" t="s">
        <v>37</v>
      </c>
      <c r="G416" s="11" t="s">
        <v>118</v>
      </c>
      <c r="H416" s="11" t="s">
        <v>915</v>
      </c>
      <c r="I416" s="12">
        <v>2.3919999999999999</v>
      </c>
      <c r="J416" s="11"/>
      <c r="K416" s="11" t="s">
        <v>1087</v>
      </c>
      <c r="L416" s="11" t="s">
        <v>34</v>
      </c>
      <c r="M416" s="13" t="s">
        <v>656</v>
      </c>
    </row>
    <row r="417" spans="1:13" x14ac:dyDescent="0.3">
      <c r="A417" s="11" t="s">
        <v>1088</v>
      </c>
      <c r="B417" s="11" t="s">
        <v>911</v>
      </c>
      <c r="C417" s="11" t="s">
        <v>912</v>
      </c>
      <c r="D417" s="11" t="s">
        <v>1056</v>
      </c>
      <c r="E417" s="11" t="s">
        <v>946</v>
      </c>
      <c r="F417" s="11" t="s">
        <v>37</v>
      </c>
      <c r="G417" s="11" t="s">
        <v>125</v>
      </c>
      <c r="H417" s="11" t="s">
        <v>915</v>
      </c>
      <c r="I417" s="12">
        <v>2.3919999999999999</v>
      </c>
      <c r="J417" s="11"/>
      <c r="K417" s="11" t="s">
        <v>1089</v>
      </c>
      <c r="L417" s="11" t="s">
        <v>34</v>
      </c>
      <c r="M417" s="13" t="s">
        <v>656</v>
      </c>
    </row>
    <row r="418" spans="1:13" x14ac:dyDescent="0.3">
      <c r="A418" s="11" t="s">
        <v>1090</v>
      </c>
      <c r="B418" s="11" t="s">
        <v>911</v>
      </c>
      <c r="C418" s="11" t="s">
        <v>912</v>
      </c>
      <c r="D418" s="11" t="s">
        <v>1056</v>
      </c>
      <c r="E418" s="11" t="s">
        <v>946</v>
      </c>
      <c r="F418" s="11" t="s">
        <v>37</v>
      </c>
      <c r="G418" s="11" t="s">
        <v>927</v>
      </c>
      <c r="H418" s="11" t="s">
        <v>915</v>
      </c>
      <c r="I418" s="12">
        <v>2.3919999999999999</v>
      </c>
      <c r="J418" s="11"/>
      <c r="K418" s="11" t="s">
        <v>1091</v>
      </c>
      <c r="L418" s="11" t="s">
        <v>34</v>
      </c>
      <c r="M418" s="13" t="s">
        <v>656</v>
      </c>
    </row>
    <row r="419" spans="1:13" x14ac:dyDescent="0.3">
      <c r="A419" s="11" t="s">
        <v>1092</v>
      </c>
      <c r="B419" s="11" t="s">
        <v>911</v>
      </c>
      <c r="C419" s="11" t="s">
        <v>912</v>
      </c>
      <c r="D419" s="11" t="s">
        <v>1056</v>
      </c>
      <c r="E419" s="11" t="s">
        <v>946</v>
      </c>
      <c r="F419" s="11" t="s">
        <v>31</v>
      </c>
      <c r="G419" s="11" t="s">
        <v>943</v>
      </c>
      <c r="H419" s="11"/>
      <c r="I419" s="12">
        <v>2.4009999999999998</v>
      </c>
      <c r="J419" s="11"/>
      <c r="K419" s="11" t="s">
        <v>1093</v>
      </c>
      <c r="L419" s="11" t="s">
        <v>34</v>
      </c>
      <c r="M419" s="13" t="s">
        <v>656</v>
      </c>
    </row>
    <row r="420" spans="1:13" x14ac:dyDescent="0.3"/>
    <row r="421" spans="1:13" x14ac:dyDescent="0.3"/>
    <row r="422" spans="1:13" x14ac:dyDescent="0.3"/>
    <row r="423" spans="1:13" x14ac:dyDescent="0.3"/>
  </sheetData>
  <autoFilter ref="A1:J419" xr:uid="{00000000-0009-0000-0000-000001000000}"/>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19"/>
  <sheetViews>
    <sheetView zoomScaleNormal="100" workbookViewId="0"/>
  </sheetViews>
  <sheetFormatPr defaultColWidth="8.6640625" defaultRowHeight="14.4" x14ac:dyDescent="0.3"/>
  <sheetData>
    <row r="1" spans="1:54" x14ac:dyDescent="0.3">
      <c r="A1" s="14" t="s">
        <v>1094</v>
      </c>
      <c r="B1" s="14" t="s">
        <v>1095</v>
      </c>
      <c r="C1" s="14" t="s">
        <v>1096</v>
      </c>
      <c r="D1" s="14" t="s">
        <v>1097</v>
      </c>
      <c r="E1" s="14" t="s">
        <v>1098</v>
      </c>
      <c r="F1" s="14" t="s">
        <v>1099</v>
      </c>
      <c r="G1" s="14" t="s">
        <v>1100</v>
      </c>
      <c r="H1" s="14" t="s">
        <v>1101</v>
      </c>
      <c r="K1" s="14" t="s">
        <v>1102</v>
      </c>
      <c r="N1" s="14" t="s">
        <v>1103</v>
      </c>
      <c r="Q1" s="14" t="s">
        <v>1104</v>
      </c>
      <c r="T1" s="14" t="s">
        <v>1105</v>
      </c>
      <c r="W1" t="s">
        <v>1106</v>
      </c>
      <c r="X1" t="s">
        <v>1107</v>
      </c>
      <c r="Z1">
        <f>SUM($I$2:$I$419)</f>
        <v>7</v>
      </c>
      <c r="AB1">
        <f>SUM($L$2:$L$419)</f>
        <v>37</v>
      </c>
      <c r="AD1">
        <f>SUM($O$2:$O$419)</f>
        <v>0</v>
      </c>
      <c r="AF1">
        <f>SUM($R$2:$R$419)</f>
        <v>4</v>
      </c>
      <c r="AH1">
        <f>SUM($U$2:$U$419)</f>
        <v>56</v>
      </c>
      <c r="BA1" t="str">
        <f>Finder!$B$7</f>
        <v>Wall</v>
      </c>
      <c r="BB1">
        <f ca="1">IF(OR($BA1="Any",$BA1=""),0,IF(COUNTIF(ElementList,$BA1)=0,1,0))</f>
        <v>0</v>
      </c>
    </row>
    <row r="2" spans="1:54" x14ac:dyDescent="0.3">
      <c r="A2">
        <f>IF(OR($BA1="Any",$BA1=""),1,IF('All Data'!$B2=$BA1,1,0))</f>
        <v>1</v>
      </c>
      <c r="B2">
        <f>IF(OR($BA2="Any",$BA2=""),1,IF('All Data'!$C2=$BA2,1,0))</f>
        <v>1</v>
      </c>
      <c r="C2">
        <f>IF(OR($BA3="Any",$BA3=""),1,IF('All Data'!$D2=$BA3,1,0))</f>
        <v>1</v>
      </c>
      <c r="D2">
        <f>IF(OR($BA4="Any",$BA4=""),1,IF('All Data'!$E2=$BA4,1,0))</f>
        <v>1</v>
      </c>
      <c r="E2">
        <f>IF(OR($BA5="Any",$BA5=""),1,IF('All Data'!$F2=$BA5,1,0))</f>
        <v>1</v>
      </c>
      <c r="F2">
        <f>IF(OR($BA6="Any",$BA6=""),1,IF('All Data'!$G2=$BA6,1,0))</f>
        <v>0</v>
      </c>
      <c r="G2">
        <f>IF(AND(OR($BA$8="",ISNUMBER(SEARCH($BA$8,'All Data'!$K2&amp;" "&amp;'All Data'!$M2))),OR($BA$9="",ISNUMBER(SEARCH($BA$9,'All Data'!$K2&amp;" "&amp;'All Data'!$M2))),OR($BA$10="",ISNUMBER(SEARCH($BA$10,'All Data'!$K2&amp;" "&amp;'All Data'!$M2))),OR($BA$11="",ISNUMBER(SEARCH($BA$11,'All Data'!$K2&amp;" "&amp;'All Data'!$M2))),OR($BA$12="",ISNUMBER(SEARCH($BA$12,'All Data'!$K2&amp;" "&amp;'All Data'!$M2))),OR($BA$13="",ISNUMBER(SEARCH($BA$13,'All Data'!$K2&amp;" "&amp;'All Data'!$M2))),OR($BA$14="",ISNUMBER(SEARCH($BA$14,'All Data'!$K2&amp;" "&amp;'All Data'!$M2))),OR($BA$15="",ISNUMBER(SEARCH($BA$15,'All Data'!$K2&amp;" "&amp;'All Data'!$M2)))),1,0)</f>
        <v>1</v>
      </c>
      <c r="H2">
        <f t="shared" ref="H2:H65" si="0">$A2</f>
        <v>1</v>
      </c>
      <c r="I2">
        <f>IF(AND($H2=1,'All Data'!$C2&lt;&gt;""),1,0)</f>
        <v>1</v>
      </c>
      <c r="J2">
        <f>IF($I2=1,SUM($I$2:I2),"")</f>
        <v>1</v>
      </c>
      <c r="K2">
        <f t="shared" ref="K2:K65" si="1">$A2*$B2</f>
        <v>1</v>
      </c>
      <c r="L2">
        <f>IF(AND($K2=1,'All Data'!$D2&lt;&gt;""),1,0)</f>
        <v>1</v>
      </c>
      <c r="M2">
        <f>IF($L2=1,SUM($L$2:L2),"")</f>
        <v>1</v>
      </c>
      <c r="N2">
        <f t="shared" ref="N2:N65" si="2">$A2*$B2*$C2</f>
        <v>1</v>
      </c>
      <c r="O2">
        <f>IF(AND($N2=1,'All Data'!$E2&lt;&gt;""),1,0)</f>
        <v>0</v>
      </c>
      <c r="P2" t="str">
        <f>IF($O2=1,SUM($O$2:O2),"")</f>
        <v/>
      </c>
      <c r="Q2">
        <f t="shared" ref="Q2:Q65" si="3">$A2*$B2*$C2*$D2</f>
        <v>1</v>
      </c>
      <c r="R2">
        <f>IF(AND($Q2=1,'All Data'!$F2&lt;&gt;""),1,0)</f>
        <v>1</v>
      </c>
      <c r="S2">
        <f>IF($R2=1,SUM($R$2:R2),"")</f>
        <v>1</v>
      </c>
      <c r="T2">
        <f t="shared" ref="T2:T65" si="4">$A2*$B2*$C2*$D2*$E2</f>
        <v>1</v>
      </c>
      <c r="U2">
        <f>IF(AND($T2=1,'All Data'!$G2&lt;&gt;""),1,0)</f>
        <v>1</v>
      </c>
      <c r="V2">
        <f>IF($U2=1,SUM($U$2:U2),"")</f>
        <v>1</v>
      </c>
      <c r="W2">
        <f t="shared" ref="W2:W65" si="5">$A2*$B2*$C2*$D2*$E2*$F2*$G2</f>
        <v>0</v>
      </c>
      <c r="X2" t="str">
        <f>IF($W2=1,SUM($W$2:W2),"")</f>
        <v/>
      </c>
      <c r="Z2" t="s">
        <v>5</v>
      </c>
      <c r="AB2" t="s">
        <v>5</v>
      </c>
      <c r="AD2" t="s">
        <v>5</v>
      </c>
      <c r="AF2" t="s">
        <v>5</v>
      </c>
      <c r="AH2" t="s">
        <v>5</v>
      </c>
      <c r="AJ2" t="s">
        <v>5</v>
      </c>
      <c r="BA2" t="str">
        <f>Finder!$D$7</f>
        <v>Any</v>
      </c>
      <c r="BB2">
        <f>IF(OR($BA2="Any",$BA2=""),0,IF(COUNTIF(TypeList,$BA2)=0,1,0))</f>
        <v>0</v>
      </c>
    </row>
    <row r="3" spans="1:54" x14ac:dyDescent="0.3">
      <c r="A3">
        <f>IF(OR($BA1="Any",$BA1=""),1,IF('All Data'!$B3=$BA1,1,0))</f>
        <v>1</v>
      </c>
      <c r="B3">
        <f>IF(OR($BA2="Any",$BA2=""),1,IF('All Data'!$C3=$BA2,1,0))</f>
        <v>1</v>
      </c>
      <c r="C3">
        <f>IF(OR($BA3="Any",$BA3=""),1,IF('All Data'!$D3=$BA3,1,0))</f>
        <v>1</v>
      </c>
      <c r="D3">
        <f>IF(OR($BA4="Any",$BA4=""),1,IF('All Data'!$E3=$BA4,1,0))</f>
        <v>1</v>
      </c>
      <c r="E3">
        <f>IF(OR($BA5="Any",$BA5=""),1,IF('All Data'!$F3=$BA5,1,0))</f>
        <v>1</v>
      </c>
      <c r="F3">
        <f>IF(OR($BA6="Any",$BA6=""),1,IF('All Data'!$G3=$BA6,1,0))</f>
        <v>0</v>
      </c>
      <c r="G3">
        <f>IF(AND(OR($BA$8="",ISNUMBER(SEARCH($BA$8,'All Data'!$K3&amp;" "&amp;'All Data'!$M3))),OR($BA$9="",ISNUMBER(SEARCH($BA$9,'All Data'!$K3&amp;" "&amp;'All Data'!$M3))),OR($BA$10="",ISNUMBER(SEARCH($BA$10,'All Data'!$K3&amp;" "&amp;'All Data'!$M3))),OR($BA$11="",ISNUMBER(SEARCH($BA$11,'All Data'!$K3&amp;" "&amp;'All Data'!$M3))),OR($BA$12="",ISNUMBER(SEARCH($BA$12,'All Data'!$K3&amp;" "&amp;'All Data'!$M3))),OR($BA$13="",ISNUMBER(SEARCH($BA$13,'All Data'!$K3&amp;" "&amp;'All Data'!$M3))),OR($BA$14="",ISNUMBER(SEARCH($BA$14,'All Data'!$K3&amp;" "&amp;'All Data'!$M3))),OR($BA$15="",ISNUMBER(SEARCH($BA$15,'All Data'!$K3&amp;" "&amp;'All Data'!$M3)))),1,0)</f>
        <v>1</v>
      </c>
      <c r="H3">
        <f t="shared" si="0"/>
        <v>1</v>
      </c>
      <c r="I3">
        <f>IF(AND($H3=1,'All Data'!$C3&lt;&gt;"",COUNTIFS($H$2:H2,1,'All Data'!$C$2:$C2,'All Data'!$C3)=0),1,0)</f>
        <v>0</v>
      </c>
      <c r="J3" t="str">
        <f>IF($I3=1,SUM($I$2:I3),"")</f>
        <v/>
      </c>
      <c r="K3">
        <f t="shared" si="1"/>
        <v>1</v>
      </c>
      <c r="L3">
        <f>IF(AND($K3=1,'All Data'!$D3&lt;&gt;"",COUNTIFS($K$2:K2,1,'All Data'!$D$2:$D2,'All Data'!$D3)=0),1,0)</f>
        <v>1</v>
      </c>
      <c r="M3">
        <f>IF($L3=1,SUM($L$2:L3),"")</f>
        <v>2</v>
      </c>
      <c r="N3">
        <f t="shared" si="2"/>
        <v>1</v>
      </c>
      <c r="O3">
        <f>IF(AND($N3=1,'All Data'!$E3&lt;&gt;"",COUNTIFS($N$2:N2,1,'All Data'!$E$2:$E2,'All Data'!$E3)=0),1,0)</f>
        <v>0</v>
      </c>
      <c r="P3" t="str">
        <f>IF($O3=1,SUM($O$2:O3),"")</f>
        <v/>
      </c>
      <c r="Q3">
        <f t="shared" si="3"/>
        <v>1</v>
      </c>
      <c r="R3">
        <f>IF(AND($Q3=1,'All Data'!$F3&lt;&gt;"",COUNTIFS($Q$2:Q2,1,'All Data'!$F$2:$F2,'All Data'!$F3)=0),1,0)</f>
        <v>1</v>
      </c>
      <c r="S3">
        <f>IF($R3=1,SUM($R$2:R3),"")</f>
        <v>2</v>
      </c>
      <c r="T3">
        <f t="shared" si="4"/>
        <v>1</v>
      </c>
      <c r="U3">
        <f>IF(AND($T3=1,'All Data'!$G3&lt;&gt;"",COUNTIFS($T$2:T2,1,'All Data'!$G$2:$G2,'All Data'!$G3)=0),1,0)</f>
        <v>1</v>
      </c>
      <c r="V3">
        <f>IF($U3=1,SUM($U$2:U3),"")</f>
        <v>2</v>
      </c>
      <c r="W3">
        <f t="shared" si="5"/>
        <v>0</v>
      </c>
      <c r="X3" t="str">
        <f>IF($W3=1,SUM($W$2:W3),"")</f>
        <v/>
      </c>
      <c r="Z3" t="str">
        <f>IFERROR(INDEX('All Data'!$C$2:$C$419,MATCH(1,$J$2:$J$419,0))&amp;"","")</f>
        <v>Solid (Masonry) Wall</v>
      </c>
      <c r="AB3" t="str">
        <f>IFERROR(INDEX('All Data'!$D$2:$D$419,MATCH(1,$M$2:$M$419,0))&amp;"","")</f>
        <v>Cast concrete wall</v>
      </c>
      <c r="AD3" t="str">
        <f>IFERROR(INDEX('All Data'!$E$2:$E$419,MATCH(1,$P$2:$P$419,0))&amp;"","")</f>
        <v/>
      </c>
      <c r="AF3" t="str">
        <f>IFERROR(INDEX('All Data'!$F$2:$F$419,MATCH(1,$S$2:$S$419,0))&amp;"","")</f>
        <v>Not specified</v>
      </c>
      <c r="AH3" t="str">
        <f>IFERROR(INDEX('All Data'!$G$2:$G$419,MATCH(1,$V$2:$V$419,0))&amp;"","")</f>
        <v>Internal insulation</v>
      </c>
      <c r="AJ3" t="s">
        <v>28</v>
      </c>
      <c r="BA3" t="str">
        <f>Finder!$F$7</f>
        <v>Any</v>
      </c>
      <c r="BB3">
        <f>IF(OR($BA3="Any",$BA3=""),0,IF(COUNTIF(ConstructionList,$BA3)=0,1,0))</f>
        <v>0</v>
      </c>
    </row>
    <row r="4" spans="1:54" x14ac:dyDescent="0.3">
      <c r="A4">
        <f>IF(OR($BA1="Any",$BA1=""),1,IF('All Data'!$B4=$BA1,1,0))</f>
        <v>1</v>
      </c>
      <c r="B4">
        <f>IF(OR($BA2="Any",$BA2=""),1,IF('All Data'!$C4=$BA2,1,0))</f>
        <v>1</v>
      </c>
      <c r="C4">
        <f>IF(OR($BA3="Any",$BA3=""),1,IF('All Data'!$D4=$BA3,1,0))</f>
        <v>1</v>
      </c>
      <c r="D4">
        <f>IF(OR($BA4="Any",$BA4=""),1,IF('All Data'!$E4=$BA4,1,0))</f>
        <v>1</v>
      </c>
      <c r="E4">
        <f>IF(OR($BA5="Any",$BA5=""),1,IF('All Data'!$F4=$BA5,1,0))</f>
        <v>1</v>
      </c>
      <c r="F4">
        <f>IF(OR($BA6="Any",$BA6=""),1,IF('All Data'!$G4=$BA6,1,0))</f>
        <v>0</v>
      </c>
      <c r="G4">
        <f>IF(AND(OR($BA$8="",ISNUMBER(SEARCH($BA$8,'All Data'!$K4&amp;" "&amp;'All Data'!$M4))),OR($BA$9="",ISNUMBER(SEARCH($BA$9,'All Data'!$K4&amp;" "&amp;'All Data'!$M4))),OR($BA$10="",ISNUMBER(SEARCH($BA$10,'All Data'!$K4&amp;" "&amp;'All Data'!$M4))),OR($BA$11="",ISNUMBER(SEARCH($BA$11,'All Data'!$K4&amp;" "&amp;'All Data'!$M4))),OR($BA$12="",ISNUMBER(SEARCH($BA$12,'All Data'!$K4&amp;" "&amp;'All Data'!$M4))),OR($BA$13="",ISNUMBER(SEARCH($BA$13,'All Data'!$K4&amp;" "&amp;'All Data'!$M4))),OR($BA$14="",ISNUMBER(SEARCH($BA$14,'All Data'!$K4&amp;" "&amp;'All Data'!$M4))),OR($BA$15="",ISNUMBER(SEARCH($BA$15,'All Data'!$K4&amp;" "&amp;'All Data'!$M4)))),1,0)</f>
        <v>1</v>
      </c>
      <c r="H4">
        <f t="shared" si="0"/>
        <v>1</v>
      </c>
      <c r="I4">
        <f>IF(AND($H4=1,'All Data'!$C4&lt;&gt;"",COUNTIFS($H$2:H3,1,'All Data'!$C$2:$C3,'All Data'!$C4)=0),1,0)</f>
        <v>0</v>
      </c>
      <c r="J4" t="str">
        <f>IF($I4=1,SUM($I$2:I4),"")</f>
        <v/>
      </c>
      <c r="K4">
        <f t="shared" si="1"/>
        <v>1</v>
      </c>
      <c r="L4">
        <f>IF(AND($K4=1,'All Data'!$D4&lt;&gt;"",COUNTIFS($K$2:K3,1,'All Data'!$D$2:$D3,'All Data'!$D4)=0),1,0)</f>
        <v>0</v>
      </c>
      <c r="M4" t="str">
        <f>IF($L4=1,SUM($L$2:L4),"")</f>
        <v/>
      </c>
      <c r="N4">
        <f t="shared" si="2"/>
        <v>1</v>
      </c>
      <c r="O4">
        <f>IF(AND($N4=1,'All Data'!$E4&lt;&gt;"",COUNTIFS($N$2:N3,1,'All Data'!$E$2:$E3,'All Data'!$E4)=0),1,0)</f>
        <v>0</v>
      </c>
      <c r="P4" t="str">
        <f>IF($O4=1,SUM($O$2:O4),"")</f>
        <v/>
      </c>
      <c r="Q4">
        <f t="shared" si="3"/>
        <v>1</v>
      </c>
      <c r="R4">
        <f>IF(AND($Q4=1,'All Data'!$F4&lt;&gt;"",COUNTIFS($Q$2:Q3,1,'All Data'!$F$2:$F3,'All Data'!$F4)=0),1,0)</f>
        <v>0</v>
      </c>
      <c r="S4" t="str">
        <f>IF($R4=1,SUM($R$2:R4),"")</f>
        <v/>
      </c>
      <c r="T4">
        <f t="shared" si="4"/>
        <v>1</v>
      </c>
      <c r="U4">
        <f>IF(AND($T4=1,'All Data'!$G4&lt;&gt;"",COUNTIFS($T$2:T3,1,'All Data'!$G$2:$G3,'All Data'!$G4)=0),1,0)</f>
        <v>1</v>
      </c>
      <c r="V4">
        <f>IF($U4=1,SUM($U$2:U4),"")</f>
        <v>3</v>
      </c>
      <c r="W4">
        <f t="shared" si="5"/>
        <v>0</v>
      </c>
      <c r="X4" t="str">
        <f>IF($W4=1,SUM($W$2:W4),"")</f>
        <v/>
      </c>
      <c r="Z4" t="str">
        <f>IFERROR(INDEX('All Data'!$C$2:$C$419,MATCH(2,$J$2:$J$419,0))&amp;"","")</f>
        <v>Cavity Wall (Clear)</v>
      </c>
      <c r="AB4" t="str">
        <f>IFERROR(INDEX('All Data'!$D$2:$D$419,MATCH(2,$M$2:$M$419,0))&amp;"","")</f>
        <v>Cob wall</v>
      </c>
      <c r="AD4" t="str">
        <f>IFERROR(INDEX('All Data'!$E$2:$E$419,MATCH(2,$P$2:$P$419,0))&amp;"","")</f>
        <v/>
      </c>
      <c r="AF4" t="str">
        <f>IFERROR(INDEX('All Data'!$F$2:$F$419,MATCH(2,$S$2:$S$419,0))&amp;"","")</f>
        <v>England &amp; Wales</v>
      </c>
      <c r="AH4" t="str">
        <f>IFERROR(INDEX('All Data'!$G$2:$G$419,MATCH(2,$V$2:$V$419,0))&amp;"","")</f>
        <v>Pre-1982</v>
      </c>
      <c r="AJ4" t="s">
        <v>473</v>
      </c>
      <c r="BA4" t="str">
        <f>Finder!$B$10</f>
        <v>Any</v>
      </c>
      <c r="BB4">
        <f>IF(OR($BA4="Any",$BA4=""),0,IF(COUNTIF(SubtypeList,$BA4)=0,1,0))</f>
        <v>0</v>
      </c>
    </row>
    <row r="5" spans="1:54" x14ac:dyDescent="0.3">
      <c r="A5">
        <f>IF(OR($BA1="Any",$BA1=""),1,IF('All Data'!$B5=$BA1,1,0))</f>
        <v>1</v>
      </c>
      <c r="B5">
        <f>IF(OR($BA2="Any",$BA2=""),1,IF('All Data'!$C5=$BA2,1,0))</f>
        <v>1</v>
      </c>
      <c r="C5">
        <f>IF(OR($BA3="Any",$BA3=""),1,IF('All Data'!$D5=$BA3,1,0))</f>
        <v>1</v>
      </c>
      <c r="D5">
        <f>IF(OR($BA4="Any",$BA4=""),1,IF('All Data'!$E5=$BA4,1,0))</f>
        <v>1</v>
      </c>
      <c r="E5">
        <f>IF(OR($BA5="Any",$BA5=""),1,IF('All Data'!$F5=$BA5,1,0))</f>
        <v>1</v>
      </c>
      <c r="F5">
        <f>IF(OR($BA6="Any",$BA6=""),1,IF('All Data'!$G5=$BA6,1,0))</f>
        <v>0</v>
      </c>
      <c r="G5">
        <f>IF(AND(OR($BA$8="",ISNUMBER(SEARCH($BA$8,'All Data'!$K5&amp;" "&amp;'All Data'!$M5))),OR($BA$9="",ISNUMBER(SEARCH($BA$9,'All Data'!$K5&amp;" "&amp;'All Data'!$M5))),OR($BA$10="",ISNUMBER(SEARCH($BA$10,'All Data'!$K5&amp;" "&amp;'All Data'!$M5))),OR($BA$11="",ISNUMBER(SEARCH($BA$11,'All Data'!$K5&amp;" "&amp;'All Data'!$M5))),OR($BA$12="",ISNUMBER(SEARCH($BA$12,'All Data'!$K5&amp;" "&amp;'All Data'!$M5))),OR($BA$13="",ISNUMBER(SEARCH($BA$13,'All Data'!$K5&amp;" "&amp;'All Data'!$M5))),OR($BA$14="",ISNUMBER(SEARCH($BA$14,'All Data'!$K5&amp;" "&amp;'All Data'!$M5))),OR($BA$15="",ISNUMBER(SEARCH($BA$15,'All Data'!$K5&amp;" "&amp;'All Data'!$M5)))),1,0)</f>
        <v>1</v>
      </c>
      <c r="H5">
        <f t="shared" si="0"/>
        <v>1</v>
      </c>
      <c r="I5">
        <f>IF(AND($H5=1,'All Data'!$C5&lt;&gt;"",COUNTIFS($H$2:H4,1,'All Data'!$C$2:$C4,'All Data'!$C5)=0),1,0)</f>
        <v>0</v>
      </c>
      <c r="J5" t="str">
        <f>IF($I5=1,SUM($I$2:I5),"")</f>
        <v/>
      </c>
      <c r="K5">
        <f t="shared" si="1"/>
        <v>1</v>
      </c>
      <c r="L5">
        <f>IF(AND($K5=1,'All Data'!$D5&lt;&gt;"",COUNTIFS($K$2:K4,1,'All Data'!$D$2:$D4,'All Data'!$D5)=0),1,0)</f>
        <v>0</v>
      </c>
      <c r="M5" t="str">
        <f>IF($L5=1,SUM($L$2:L5),"")</f>
        <v/>
      </c>
      <c r="N5">
        <f t="shared" si="2"/>
        <v>1</v>
      </c>
      <c r="O5">
        <f>IF(AND($N5=1,'All Data'!$E5&lt;&gt;"",COUNTIFS($N$2:N4,1,'All Data'!$E$2:$E4,'All Data'!$E5)=0),1,0)</f>
        <v>0</v>
      </c>
      <c r="P5" t="str">
        <f>IF($O5=1,SUM($O$2:O5),"")</f>
        <v/>
      </c>
      <c r="Q5">
        <f t="shared" si="3"/>
        <v>1</v>
      </c>
      <c r="R5">
        <f>IF(AND($Q5=1,'All Data'!$F5&lt;&gt;"",COUNTIFS($Q$2:Q4,1,'All Data'!$F$2:$F4,'All Data'!$F5)=0),1,0)</f>
        <v>0</v>
      </c>
      <c r="S5" t="str">
        <f>IF($R5=1,SUM($R$2:R5),"")</f>
        <v/>
      </c>
      <c r="T5">
        <f t="shared" si="4"/>
        <v>1</v>
      </c>
      <c r="U5">
        <f>IF(AND($T5=1,'All Data'!$G5&lt;&gt;"",COUNTIFS($T$2:T4,1,'All Data'!$G$2:$G4,'All Data'!$G5)=0),1,0)</f>
        <v>1</v>
      </c>
      <c r="V5">
        <f>IF($U5=1,SUM($U$2:U5),"")</f>
        <v>4</v>
      </c>
      <c r="W5">
        <f t="shared" si="5"/>
        <v>0</v>
      </c>
      <c r="X5" t="str">
        <f>IF($W5=1,SUM($W$2:W5),"")</f>
        <v/>
      </c>
      <c r="Z5" t="str">
        <f>IFERROR(INDEX('All Data'!$C$2:$C$419,MATCH(3,$J$2:$J$419,0))&amp;"","")</f>
        <v>Cavity Wall (Full Fill)</v>
      </c>
      <c r="AB5" t="str">
        <f>IFERROR(INDEX('All Data'!$D$2:$D$419,MATCH(3,$M$2:$M$419,0))&amp;"","")</f>
        <v>Heavy partition wall</v>
      </c>
      <c r="AD5" t="str">
        <f>IFERROR(INDEX('All Data'!$E$2:$E$419,MATCH(3,$P$2:$P$419,0))&amp;"","")</f>
        <v/>
      </c>
      <c r="AF5" t="str">
        <f>IFERROR(INDEX('All Data'!$F$2:$F$419,MATCH(3,$S$2:$S$419,0))&amp;"","")</f>
        <v>Northern Ireland</v>
      </c>
      <c r="AH5" t="str">
        <f>IFERROR(INDEX('All Data'!$G$2:$G$419,MATCH(3,$V$2:$V$419,0))&amp;"","")</f>
        <v>1982 onwards</v>
      </c>
      <c r="AJ5" t="s">
        <v>667</v>
      </c>
      <c r="BA5" t="str">
        <f>Finder!$D$10</f>
        <v>Any</v>
      </c>
      <c r="BB5">
        <f>IF(OR($BA5="Any",$BA5=""),0,IF(COUNTIF(RegionList,$BA5)=0,1,0))</f>
        <v>0</v>
      </c>
    </row>
    <row r="6" spans="1:54" x14ac:dyDescent="0.3">
      <c r="A6">
        <f>IF(OR($BA1="Any",$BA1=""),1,IF('All Data'!$B6=$BA1,1,0))</f>
        <v>1</v>
      </c>
      <c r="B6">
        <f>IF(OR($BA2="Any",$BA2=""),1,IF('All Data'!$C6=$BA2,1,0))</f>
        <v>1</v>
      </c>
      <c r="C6">
        <f>IF(OR($BA3="Any",$BA3=""),1,IF('All Data'!$D6=$BA3,1,0))</f>
        <v>1</v>
      </c>
      <c r="D6">
        <f>IF(OR($BA4="Any",$BA4=""),1,IF('All Data'!$E6=$BA4,1,0))</f>
        <v>1</v>
      </c>
      <c r="E6">
        <f>IF(OR($BA5="Any",$BA5=""),1,IF('All Data'!$F6=$BA5,1,0))</f>
        <v>1</v>
      </c>
      <c r="F6">
        <f>IF(OR($BA6="Any",$BA6=""),1,IF('All Data'!$G6=$BA6,1,0))</f>
        <v>0</v>
      </c>
      <c r="G6">
        <f>IF(AND(OR($BA$8="",ISNUMBER(SEARCH($BA$8,'All Data'!$K6&amp;" "&amp;'All Data'!$M6))),OR($BA$9="",ISNUMBER(SEARCH($BA$9,'All Data'!$K6&amp;" "&amp;'All Data'!$M6))),OR($BA$10="",ISNUMBER(SEARCH($BA$10,'All Data'!$K6&amp;" "&amp;'All Data'!$M6))),OR($BA$11="",ISNUMBER(SEARCH($BA$11,'All Data'!$K6&amp;" "&amp;'All Data'!$M6))),OR($BA$12="",ISNUMBER(SEARCH($BA$12,'All Data'!$K6&amp;" "&amp;'All Data'!$M6))),OR($BA$13="",ISNUMBER(SEARCH($BA$13,'All Data'!$K6&amp;" "&amp;'All Data'!$M6))),OR($BA$14="",ISNUMBER(SEARCH($BA$14,'All Data'!$K6&amp;" "&amp;'All Data'!$M6))),OR($BA$15="",ISNUMBER(SEARCH($BA$15,'All Data'!$K6&amp;" "&amp;'All Data'!$M6)))),1,0)</f>
        <v>1</v>
      </c>
      <c r="H6">
        <f t="shared" si="0"/>
        <v>1</v>
      </c>
      <c r="I6">
        <f>IF(AND($H6=1,'All Data'!$C6&lt;&gt;"",COUNTIFS($H$2:H5,1,'All Data'!$C$2:$C5,'All Data'!$C6)=0),1,0)</f>
        <v>0</v>
      </c>
      <c r="J6" t="str">
        <f>IF($I6=1,SUM($I$2:I6),"")</f>
        <v/>
      </c>
      <c r="K6">
        <f t="shared" si="1"/>
        <v>1</v>
      </c>
      <c r="L6">
        <f>IF(AND($K6=1,'All Data'!$D6&lt;&gt;"",COUNTIFS($K$2:K5,1,'All Data'!$D$2:$D5,'All Data'!$D6)=0),1,0)</f>
        <v>0</v>
      </c>
      <c r="M6" t="str">
        <f>IF($L6=1,SUM($L$2:L6),"")</f>
        <v/>
      </c>
      <c r="N6">
        <f t="shared" si="2"/>
        <v>1</v>
      </c>
      <c r="O6">
        <f>IF(AND($N6=1,'All Data'!$E6&lt;&gt;"",COUNTIFS($N$2:N5,1,'All Data'!$E$2:$E5,'All Data'!$E6)=0),1,0)</f>
        <v>0</v>
      </c>
      <c r="P6" t="str">
        <f>IF($O6=1,SUM($O$2:O6),"")</f>
        <v/>
      </c>
      <c r="Q6">
        <f t="shared" si="3"/>
        <v>1</v>
      </c>
      <c r="R6">
        <f>IF(AND($Q6=1,'All Data'!$F6&lt;&gt;"",COUNTIFS($Q$2:Q5,1,'All Data'!$F$2:$F5,'All Data'!$F6)=0),1,0)</f>
        <v>0</v>
      </c>
      <c r="S6" t="str">
        <f>IF($R6=1,SUM($R$2:R6),"")</f>
        <v/>
      </c>
      <c r="T6">
        <f t="shared" si="4"/>
        <v>1</v>
      </c>
      <c r="U6">
        <f>IF(AND($T6=1,'All Data'!$G6&lt;&gt;"",COUNTIFS($T$2:T5,1,'All Data'!$G$2:$G5,'All Data'!$G6)=0),1,0)</f>
        <v>0</v>
      </c>
      <c r="V6" t="str">
        <f>IF($U6=1,SUM($U$2:U6),"")</f>
        <v/>
      </c>
      <c r="W6">
        <f t="shared" si="5"/>
        <v>0</v>
      </c>
      <c r="X6" t="str">
        <f>IF($W6=1,SUM($W$2:W6),"")</f>
        <v/>
      </c>
      <c r="Z6" t="str">
        <f>IFERROR(INDEX('All Data'!$C$2:$C$419,MATCH(4,$J$2:$J$419,0))&amp;"","")</f>
        <v>Cavity Wall (Partial Fill)</v>
      </c>
      <c r="AB6" t="str">
        <f>IFERROR(INDEX('All Data'!$D$2:$D$419,MATCH(4,$M$2:$M$419,0))&amp;"","")</f>
        <v>Masonry wall with rainscreen</v>
      </c>
      <c r="AD6" t="str">
        <f>IFERROR(INDEX('All Data'!$E$2:$E$419,MATCH(4,$P$2:$P$419,0))&amp;"","")</f>
        <v/>
      </c>
      <c r="AF6" t="str">
        <f>IFERROR(INDEX('All Data'!$F$2:$F$419,MATCH(4,$S$2:$S$419,0))&amp;"","")</f>
        <v>Scotland</v>
      </c>
      <c r="AH6" t="str">
        <f>IFERROR(INDEX('All Data'!$G$2:$G$419,MATCH(4,$V$2:$V$419,0))&amp;"","")</f>
        <v>External insulation</v>
      </c>
      <c r="AJ6" t="s">
        <v>911</v>
      </c>
      <c r="BA6" t="str">
        <f>Finder!$F$10</f>
        <v>1990</v>
      </c>
      <c r="BB6">
        <f ca="1">IF(OR($BA6="Any",$BA6=""),0,IF(COUNTIF(YearList,$BA6)=0,1,0))</f>
        <v>0</v>
      </c>
    </row>
    <row r="7" spans="1:54" x14ac:dyDescent="0.3">
      <c r="A7">
        <f>IF(OR($BA1="Any",$BA1=""),1,IF('All Data'!$B7=$BA1,1,0))</f>
        <v>1</v>
      </c>
      <c r="B7">
        <f>IF(OR($BA2="Any",$BA2=""),1,IF('All Data'!$C7=$BA2,1,0))</f>
        <v>1</v>
      </c>
      <c r="C7">
        <f>IF(OR($BA3="Any",$BA3=""),1,IF('All Data'!$D7=$BA3,1,0))</f>
        <v>1</v>
      </c>
      <c r="D7">
        <f>IF(OR($BA4="Any",$BA4=""),1,IF('All Data'!$E7=$BA4,1,0))</f>
        <v>1</v>
      </c>
      <c r="E7">
        <f>IF(OR($BA5="Any",$BA5=""),1,IF('All Data'!$F7=$BA5,1,0))</f>
        <v>1</v>
      </c>
      <c r="F7">
        <f>IF(OR($BA6="Any",$BA6=""),1,IF('All Data'!$G7=$BA6,1,0))</f>
        <v>0</v>
      </c>
      <c r="G7">
        <f>IF(AND(OR($BA$8="",ISNUMBER(SEARCH($BA$8,'All Data'!$K7&amp;" "&amp;'All Data'!$M7))),OR($BA$9="",ISNUMBER(SEARCH($BA$9,'All Data'!$K7&amp;" "&amp;'All Data'!$M7))),OR($BA$10="",ISNUMBER(SEARCH($BA$10,'All Data'!$K7&amp;" "&amp;'All Data'!$M7))),OR($BA$11="",ISNUMBER(SEARCH($BA$11,'All Data'!$K7&amp;" "&amp;'All Data'!$M7))),OR($BA$12="",ISNUMBER(SEARCH($BA$12,'All Data'!$K7&amp;" "&amp;'All Data'!$M7))),OR($BA$13="",ISNUMBER(SEARCH($BA$13,'All Data'!$K7&amp;" "&amp;'All Data'!$M7))),OR($BA$14="",ISNUMBER(SEARCH($BA$14,'All Data'!$K7&amp;" "&amp;'All Data'!$M7))),OR($BA$15="",ISNUMBER(SEARCH($BA$15,'All Data'!$K7&amp;" "&amp;'All Data'!$M7)))),1,0)</f>
        <v>1</v>
      </c>
      <c r="H7">
        <f t="shared" si="0"/>
        <v>1</v>
      </c>
      <c r="I7">
        <f>IF(AND($H7=1,'All Data'!$C7&lt;&gt;"",COUNTIFS($H$2:H6,1,'All Data'!$C$2:$C6,'All Data'!$C7)=0),1,0)</f>
        <v>0</v>
      </c>
      <c r="J7" t="str">
        <f>IF($I7=1,SUM($I$2:I7),"")</f>
        <v/>
      </c>
      <c r="K7">
        <f t="shared" si="1"/>
        <v>1</v>
      </c>
      <c r="L7">
        <f>IF(AND($K7=1,'All Data'!$D7&lt;&gt;"",COUNTIFS($K$2:K6,1,'All Data'!$D$2:$D6,'All Data'!$D7)=0),1,0)</f>
        <v>1</v>
      </c>
      <c r="M7">
        <f>IF($L7=1,SUM($L$2:L7),"")</f>
        <v>3</v>
      </c>
      <c r="N7">
        <f t="shared" si="2"/>
        <v>1</v>
      </c>
      <c r="O7">
        <f>IF(AND($N7=1,'All Data'!$E7&lt;&gt;"",COUNTIFS($N$2:N6,1,'All Data'!$E$2:$E6,'All Data'!$E7)=0),1,0)</f>
        <v>0</v>
      </c>
      <c r="P7" t="str">
        <f>IF($O7=1,SUM($O$2:O7),"")</f>
        <v/>
      </c>
      <c r="Q7">
        <f t="shared" si="3"/>
        <v>1</v>
      </c>
      <c r="R7">
        <f>IF(AND($Q7=1,'All Data'!$F7&lt;&gt;"",COUNTIFS($Q$2:Q6,1,'All Data'!$F$2:$F6,'All Data'!$F7)=0),1,0)</f>
        <v>0</v>
      </c>
      <c r="S7" t="str">
        <f>IF($R7=1,SUM($R$2:R7),"")</f>
        <v/>
      </c>
      <c r="T7">
        <f t="shared" si="4"/>
        <v>1</v>
      </c>
      <c r="U7">
        <f>IF(AND($T7=1,'All Data'!$G7&lt;&gt;"",COUNTIFS($T$2:T6,1,'All Data'!$G$2:$G6,'All Data'!$G7)=0),1,0)</f>
        <v>1</v>
      </c>
      <c r="V7">
        <f>IF($U7=1,SUM($U$2:U7),"")</f>
        <v>5</v>
      </c>
      <c r="W7">
        <f t="shared" si="5"/>
        <v>0</v>
      </c>
      <c r="X7" t="str">
        <f>IF($W7=1,SUM($W$2:W7),"")</f>
        <v/>
      </c>
      <c r="Z7" t="str">
        <f>IFERROR(INDEX('All Data'!$C$2:$C$419,MATCH(5,$J$2:$J$419,0))&amp;"","")</f>
        <v>Non-Structural Wall (Metal)</v>
      </c>
      <c r="AB7" t="str">
        <f>IFERROR(INDEX('All Data'!$D$2:$D$419,MATCH(5,$M$2:$M$419,0))&amp;"","")</f>
        <v>Solid brick wall, 110mm</v>
      </c>
      <c r="AD7" t="str">
        <f>IFERROR(INDEX('All Data'!$E$2:$E$419,MATCH(5,$P$2:$P$419,0))&amp;"","")</f>
        <v/>
      </c>
      <c r="AF7" t="str">
        <f>IFERROR(INDEX('All Data'!$F$2:$F$419,MATCH(5,$S$2:$S$419,0))&amp;"","")</f>
        <v/>
      </c>
      <c r="AH7" t="str">
        <f>IFERROR(INDEX('All Data'!$G$2:$G$419,MATCH(5,$V$2:$V$419,0))&amp;"","")</f>
        <v>—</v>
      </c>
      <c r="AJ7" t="s">
        <v>835</v>
      </c>
      <c r="BA7" t="str">
        <f>TRIM(SUBSTITUTE(SUBSTITUTE(SUBSTITUTE(SUBSTITUTE(SUBSTITUTE(SUBSTITUTE(SUBSTITUTE(SUBSTITUTE(SUBSTITUTE(SUBSTITUTE(SUBSTITUTE(SUBSTITUTE(LOWER(Finder!$B$13),"&amp;"," and "),"-"," "),","," "),"/"," "),"("," "),")"," "),"*",""),"?",""),"~",""),"""",""),"  "," "),"  "," "))</f>
        <v/>
      </c>
      <c r="BB7">
        <f ca="1">SUM($BB$1:$BB$6)</f>
        <v>0</v>
      </c>
    </row>
    <row r="8" spans="1:54" x14ac:dyDescent="0.3">
      <c r="A8">
        <f>IF(OR($BA1="Any",$BA1=""),1,IF('All Data'!$B8=$BA1,1,0))</f>
        <v>1</v>
      </c>
      <c r="B8">
        <f>IF(OR($BA2="Any",$BA2=""),1,IF('All Data'!$C8=$BA2,1,0))</f>
        <v>1</v>
      </c>
      <c r="C8">
        <f>IF(OR($BA3="Any",$BA3=""),1,IF('All Data'!$D8=$BA3,1,0))</f>
        <v>1</v>
      </c>
      <c r="D8">
        <f>IF(OR($BA4="Any",$BA4=""),1,IF('All Data'!$E8=$BA4,1,0))</f>
        <v>1</v>
      </c>
      <c r="E8">
        <f>IF(OR($BA5="Any",$BA5=""),1,IF('All Data'!$F8=$BA5,1,0))</f>
        <v>1</v>
      </c>
      <c r="F8">
        <f>IF(OR($BA6="Any",$BA6=""),1,IF('All Data'!$G8=$BA6,1,0))</f>
        <v>0</v>
      </c>
      <c r="G8">
        <f>IF(AND(OR($BA$8="",ISNUMBER(SEARCH($BA$8,'All Data'!$K8&amp;" "&amp;'All Data'!$M8))),OR($BA$9="",ISNUMBER(SEARCH($BA$9,'All Data'!$K8&amp;" "&amp;'All Data'!$M8))),OR($BA$10="",ISNUMBER(SEARCH($BA$10,'All Data'!$K8&amp;" "&amp;'All Data'!$M8))),OR($BA$11="",ISNUMBER(SEARCH($BA$11,'All Data'!$K8&amp;" "&amp;'All Data'!$M8))),OR($BA$12="",ISNUMBER(SEARCH($BA$12,'All Data'!$K8&amp;" "&amp;'All Data'!$M8))),OR($BA$13="",ISNUMBER(SEARCH($BA$13,'All Data'!$K8&amp;" "&amp;'All Data'!$M8))),OR($BA$14="",ISNUMBER(SEARCH($BA$14,'All Data'!$K8&amp;" "&amp;'All Data'!$M8))),OR($BA$15="",ISNUMBER(SEARCH($BA$15,'All Data'!$K8&amp;" "&amp;'All Data'!$M8)))),1,0)</f>
        <v>1</v>
      </c>
      <c r="H8">
        <f t="shared" si="0"/>
        <v>1</v>
      </c>
      <c r="I8">
        <f>IF(AND($H8=1,'All Data'!$C8&lt;&gt;"",COUNTIFS($H$2:H7,1,'All Data'!$C$2:$C7,'All Data'!$C8)=0),1,0)</f>
        <v>0</v>
      </c>
      <c r="J8" t="str">
        <f>IF($I8=1,SUM($I$2:I8),"")</f>
        <v/>
      </c>
      <c r="K8">
        <f t="shared" si="1"/>
        <v>1</v>
      </c>
      <c r="L8">
        <f>IF(AND($K8=1,'All Data'!$D8&lt;&gt;"",COUNTIFS($K$2:K7,1,'All Data'!$D$2:$D7,'All Data'!$D8)=0),1,0)</f>
        <v>1</v>
      </c>
      <c r="M8">
        <f>IF($L8=1,SUM($L$2:L8),"")</f>
        <v>4</v>
      </c>
      <c r="N8">
        <f t="shared" si="2"/>
        <v>1</v>
      </c>
      <c r="O8">
        <f>IF(AND($N8=1,'All Data'!$E8&lt;&gt;"",COUNTIFS($N$2:N7,1,'All Data'!$E$2:$E7,'All Data'!$E8)=0),1,0)</f>
        <v>0</v>
      </c>
      <c r="P8" t="str">
        <f>IF($O8=1,SUM($O$2:O8),"")</f>
        <v/>
      </c>
      <c r="Q8">
        <f t="shared" si="3"/>
        <v>1</v>
      </c>
      <c r="R8">
        <f>IF(AND($Q8=1,'All Data'!$F8&lt;&gt;"",COUNTIFS($Q$2:Q7,1,'All Data'!$F$2:$F7,'All Data'!$F8)=0),1,0)</f>
        <v>0</v>
      </c>
      <c r="S8" t="str">
        <f>IF($R8=1,SUM($R$2:R8),"")</f>
        <v/>
      </c>
      <c r="T8">
        <f t="shared" si="4"/>
        <v>1</v>
      </c>
      <c r="U8">
        <f>IF(AND($T8=1,'All Data'!$G8&lt;&gt;"",COUNTIFS($T$2:T7,1,'All Data'!$G$2:$G7,'All Data'!$G8)=0),1,0)</f>
        <v>0</v>
      </c>
      <c r="V8" t="str">
        <f>IF($U8=1,SUM($U$2:U8),"")</f>
        <v/>
      </c>
      <c r="W8">
        <f t="shared" si="5"/>
        <v>0</v>
      </c>
      <c r="X8" t="str">
        <f>IF($W8=1,SUM($W$2:W8),"")</f>
        <v/>
      </c>
      <c r="Z8" t="str">
        <f>IFERROR(INDEX('All Data'!$C$2:$C$419,MATCH(6,$J$2:$J$419,0))&amp;"","")</f>
        <v>Timber Frame Wall</v>
      </c>
      <c r="AB8" t="str">
        <f>IFERROR(INDEX('All Data'!$D$2:$D$419,MATCH(6,$M$2:$M$419,0))&amp;"","")</f>
        <v>Solid brick wall, 225mm</v>
      </c>
      <c r="AD8" t="str">
        <f>IFERROR(INDEX('All Data'!$E$2:$E$419,MATCH(6,$P$2:$P$419,0))&amp;"","")</f>
        <v/>
      </c>
      <c r="AF8" t="str">
        <f>IFERROR(INDEX('All Data'!$F$2:$F$419,MATCH(6,$S$2:$S$419,0))&amp;"","")</f>
        <v/>
      </c>
      <c r="AH8" t="str">
        <f>IFERROR(INDEX('All Data'!$G$2:$G$419,MATCH(6,$V$2:$V$419,0))&amp;"","")</f>
        <v>Uninsulated</v>
      </c>
      <c r="AJ8" t="s">
        <v>886</v>
      </c>
      <c r="BA8" t="str">
        <f>TRIM(MID(SUBSTITUTE($BA$7," ",REPT(" ",99)),1,99))</f>
        <v/>
      </c>
    </row>
    <row r="9" spans="1:54" x14ac:dyDescent="0.3">
      <c r="A9">
        <f>IF(OR($BA1="Any",$BA1=""),1,IF('All Data'!$B9=$BA1,1,0))</f>
        <v>1</v>
      </c>
      <c r="B9">
        <f>IF(OR($BA2="Any",$BA2=""),1,IF('All Data'!$C9=$BA2,1,0))</f>
        <v>1</v>
      </c>
      <c r="C9">
        <f>IF(OR($BA3="Any",$BA3=""),1,IF('All Data'!$D9=$BA3,1,0))</f>
        <v>1</v>
      </c>
      <c r="D9">
        <f>IF(OR($BA4="Any",$BA4=""),1,IF('All Data'!$E9=$BA4,1,0))</f>
        <v>1</v>
      </c>
      <c r="E9">
        <f>IF(OR($BA5="Any",$BA5=""),1,IF('All Data'!$F9=$BA5,1,0))</f>
        <v>1</v>
      </c>
      <c r="F9">
        <f>IF(OR($BA6="Any",$BA6=""),1,IF('All Data'!$G9=$BA6,1,0))</f>
        <v>0</v>
      </c>
      <c r="G9">
        <f>IF(AND(OR($BA$8="",ISNUMBER(SEARCH($BA$8,'All Data'!$K9&amp;" "&amp;'All Data'!$M9))),OR($BA$9="",ISNUMBER(SEARCH($BA$9,'All Data'!$K9&amp;" "&amp;'All Data'!$M9))),OR($BA$10="",ISNUMBER(SEARCH($BA$10,'All Data'!$K9&amp;" "&amp;'All Data'!$M9))),OR($BA$11="",ISNUMBER(SEARCH($BA$11,'All Data'!$K9&amp;" "&amp;'All Data'!$M9))),OR($BA$12="",ISNUMBER(SEARCH($BA$12,'All Data'!$K9&amp;" "&amp;'All Data'!$M9))),OR($BA$13="",ISNUMBER(SEARCH($BA$13,'All Data'!$K9&amp;" "&amp;'All Data'!$M9))),OR($BA$14="",ISNUMBER(SEARCH($BA$14,'All Data'!$K9&amp;" "&amp;'All Data'!$M9))),OR($BA$15="",ISNUMBER(SEARCH($BA$15,'All Data'!$K9&amp;" "&amp;'All Data'!$M9)))),1,0)</f>
        <v>1</v>
      </c>
      <c r="H9">
        <f t="shared" si="0"/>
        <v>1</v>
      </c>
      <c r="I9">
        <f>IF(AND($H9=1,'All Data'!$C9&lt;&gt;"",COUNTIFS($H$2:H8,1,'All Data'!$C$2:$C8,'All Data'!$C9)=0),1,0)</f>
        <v>0</v>
      </c>
      <c r="J9" t="str">
        <f>IF($I9=1,SUM($I$2:I9),"")</f>
        <v/>
      </c>
      <c r="K9">
        <f t="shared" si="1"/>
        <v>1</v>
      </c>
      <c r="L9">
        <f>IF(AND($K9=1,'All Data'!$D9&lt;&gt;"",COUNTIFS($K$2:K8,1,'All Data'!$D$2:$D8,'All Data'!$D9)=0),1,0)</f>
        <v>1</v>
      </c>
      <c r="M9">
        <f>IF($L9=1,SUM($L$2:L9),"")</f>
        <v>5</v>
      </c>
      <c r="N9">
        <f t="shared" si="2"/>
        <v>1</v>
      </c>
      <c r="O9">
        <f>IF(AND($N9=1,'All Data'!$E9&lt;&gt;"",COUNTIFS($N$2:N8,1,'All Data'!$E$2:$E8,'All Data'!$E9)=0),1,0)</f>
        <v>0</v>
      </c>
      <c r="P9" t="str">
        <f>IF($O9=1,SUM($O$2:O9),"")</f>
        <v/>
      </c>
      <c r="Q9">
        <f t="shared" si="3"/>
        <v>1</v>
      </c>
      <c r="R9">
        <f>IF(AND($Q9=1,'All Data'!$F9&lt;&gt;"",COUNTIFS($Q$2:Q8,1,'All Data'!$F$2:$F8,'All Data'!$F9)=0),1,0)</f>
        <v>0</v>
      </c>
      <c r="S9" t="str">
        <f>IF($R9=1,SUM($R$2:R9),"")</f>
        <v/>
      </c>
      <c r="T9">
        <f t="shared" si="4"/>
        <v>1</v>
      </c>
      <c r="U9">
        <f>IF(AND($T9=1,'All Data'!$G9&lt;&gt;"",COUNTIFS($T$2:T8,1,'All Data'!$G$2:$G8,'All Data'!$G9)=0),1,0)</f>
        <v>1</v>
      </c>
      <c r="V9">
        <f>IF($U9=1,SUM($U$2:U9),"")</f>
        <v>6</v>
      </c>
      <c r="W9">
        <f t="shared" si="5"/>
        <v>0</v>
      </c>
      <c r="X9" t="str">
        <f>IF($W9=1,SUM($W$2:W9),"")</f>
        <v/>
      </c>
      <c r="Z9" t="str">
        <f>IFERROR(INDEX('All Data'!$C$2:$C$419,MATCH(7,$J$2:$J$419,0))&amp;"","")</f>
        <v>Light steel framing</v>
      </c>
      <c r="AB9" t="str">
        <f>IFERROR(INDEX('All Data'!$D$2:$D$419,MATCH(7,$M$2:$M$419,0))&amp;"","")</f>
        <v>Solid brick wall, 230mm</v>
      </c>
      <c r="AD9" t="str">
        <f>IFERROR(INDEX('All Data'!$E$2:$E$419,MATCH(7,$P$2:$P$419,0))&amp;"","")</f>
        <v/>
      </c>
      <c r="AF9" t="str">
        <f>IFERROR(INDEX('All Data'!$F$2:$F$419,MATCH(7,$S$2:$S$419,0))&amp;"","")</f>
        <v/>
      </c>
      <c r="AH9" t="str">
        <f>IFERROR(INDEX('All Data'!$G$2:$G$419,MATCH(7,$V$2:$V$419,0))&amp;"","")</f>
        <v>Dry lined</v>
      </c>
      <c r="AJ9" t="s">
        <v>444</v>
      </c>
      <c r="BA9" t="str">
        <f>TRIM(MID(SUBSTITUTE($BA$7," ",REPT(" ",99)),100,99))</f>
        <v/>
      </c>
    </row>
    <row r="10" spans="1:54" x14ac:dyDescent="0.3">
      <c r="A10">
        <f>IF(OR($BA1="Any",$BA1=""),1,IF('All Data'!$B10=$BA1,1,0))</f>
        <v>1</v>
      </c>
      <c r="B10">
        <f>IF(OR($BA2="Any",$BA2=""),1,IF('All Data'!$C10=$BA2,1,0))</f>
        <v>1</v>
      </c>
      <c r="C10">
        <f>IF(OR($BA3="Any",$BA3=""),1,IF('All Data'!$D10=$BA3,1,0))</f>
        <v>1</v>
      </c>
      <c r="D10">
        <f>IF(OR($BA4="Any",$BA4=""),1,IF('All Data'!$E10=$BA4,1,0))</f>
        <v>1</v>
      </c>
      <c r="E10">
        <f>IF(OR($BA5="Any",$BA5=""),1,IF('All Data'!$F10=$BA5,1,0))</f>
        <v>1</v>
      </c>
      <c r="F10">
        <f>IF(OR($BA6="Any",$BA6=""),1,IF('All Data'!$G10=$BA6,1,0))</f>
        <v>0</v>
      </c>
      <c r="G10">
        <f>IF(AND(OR($BA$8="",ISNUMBER(SEARCH($BA$8,'All Data'!$K10&amp;" "&amp;'All Data'!$M10))),OR($BA$9="",ISNUMBER(SEARCH($BA$9,'All Data'!$K10&amp;" "&amp;'All Data'!$M10))),OR($BA$10="",ISNUMBER(SEARCH($BA$10,'All Data'!$K10&amp;" "&amp;'All Data'!$M10))),OR($BA$11="",ISNUMBER(SEARCH($BA$11,'All Data'!$K10&amp;" "&amp;'All Data'!$M10))),OR($BA$12="",ISNUMBER(SEARCH($BA$12,'All Data'!$K10&amp;" "&amp;'All Data'!$M10))),OR($BA$13="",ISNUMBER(SEARCH($BA$13,'All Data'!$K10&amp;" "&amp;'All Data'!$M10))),OR($BA$14="",ISNUMBER(SEARCH($BA$14,'All Data'!$K10&amp;" "&amp;'All Data'!$M10))),OR($BA$15="",ISNUMBER(SEARCH($BA$15,'All Data'!$K10&amp;" "&amp;'All Data'!$M10)))),1,0)</f>
        <v>1</v>
      </c>
      <c r="H10">
        <f t="shared" si="0"/>
        <v>1</v>
      </c>
      <c r="I10">
        <f>IF(AND($H10=1,'All Data'!$C10&lt;&gt;"",COUNTIFS($H$2:H9,1,'All Data'!$C$2:$C9,'All Data'!$C10)=0),1,0)</f>
        <v>0</v>
      </c>
      <c r="J10" t="str">
        <f>IF($I10=1,SUM($I$2:I10),"")</f>
        <v/>
      </c>
      <c r="K10">
        <f t="shared" si="1"/>
        <v>1</v>
      </c>
      <c r="L10">
        <f>IF(AND($K10=1,'All Data'!$D10&lt;&gt;"",COUNTIFS($K$2:K9,1,'All Data'!$D$2:$D9,'All Data'!$D10)=0),1,0)</f>
        <v>0</v>
      </c>
      <c r="M10" t="str">
        <f>IF($L10=1,SUM($L$2:L10),"")</f>
        <v/>
      </c>
      <c r="N10">
        <f t="shared" si="2"/>
        <v>1</v>
      </c>
      <c r="O10">
        <f>IF(AND($N10=1,'All Data'!$E10&lt;&gt;"",COUNTIFS($N$2:N9,1,'All Data'!$E$2:$E9,'All Data'!$E10)=0),1,0)</f>
        <v>0</v>
      </c>
      <c r="P10" t="str">
        <f>IF($O10=1,SUM($O$2:O10),"")</f>
        <v/>
      </c>
      <c r="Q10">
        <f t="shared" si="3"/>
        <v>1</v>
      </c>
      <c r="R10">
        <f>IF(AND($Q10=1,'All Data'!$F10&lt;&gt;"",COUNTIFS($Q$2:Q9,1,'All Data'!$F$2:$F9,'All Data'!$F10)=0),1,0)</f>
        <v>0</v>
      </c>
      <c r="S10" t="str">
        <f>IF($R10=1,SUM($R$2:R10),"")</f>
        <v/>
      </c>
      <c r="T10">
        <f t="shared" si="4"/>
        <v>1</v>
      </c>
      <c r="U10">
        <f>IF(AND($T10=1,'All Data'!$G10&lt;&gt;"",COUNTIFS($T$2:T9,1,'All Data'!$G$2:$G9,'All Data'!$G10)=0),1,0)</f>
        <v>1</v>
      </c>
      <c r="V10">
        <f>IF($U10=1,SUM($U$2:U10),"")</f>
        <v>7</v>
      </c>
      <c r="W10">
        <f t="shared" si="5"/>
        <v>0</v>
      </c>
      <c r="X10" t="str">
        <f>IF($W10=1,SUM($W$2:W10),"")</f>
        <v/>
      </c>
      <c r="Z10" t="str">
        <f>IFERROR(INDEX('All Data'!$C$2:$C$419,MATCH(8,$J$2:$J$419,0))&amp;"","")</f>
        <v/>
      </c>
      <c r="AB10" t="str">
        <f>IFERROR(INDEX('All Data'!$D$2:$D$419,MATCH(8,$M$2:$M$419,0))&amp;"","")</f>
        <v>Solid brick wall, 340mm</v>
      </c>
      <c r="AD10" t="str">
        <f>IFERROR(INDEX('All Data'!$E$2:$E$419,MATCH(8,$P$2:$P$419,0))&amp;"","")</f>
        <v/>
      </c>
      <c r="AF10" t="str">
        <f>IFERROR(INDEX('All Data'!$F$2:$F$419,MATCH(8,$S$2:$S$419,0))&amp;"","")</f>
        <v/>
      </c>
      <c r="AH10" t="str">
        <f>IFERROR(INDEX('All Data'!$G$2:$G$419,MATCH(8,$V$2:$V$419,0))&amp;"","")</f>
        <v>Insulated</v>
      </c>
      <c r="BA10" t="str">
        <f>TRIM(MID(SUBSTITUTE($BA$7," ",REPT(" ",99)),199,99))</f>
        <v/>
      </c>
    </row>
    <row r="11" spans="1:54" x14ac:dyDescent="0.3">
      <c r="A11">
        <f>IF(OR($BA1="Any",$BA1=""),1,IF('All Data'!$B11=$BA1,1,0))</f>
        <v>1</v>
      </c>
      <c r="B11">
        <f>IF(OR($BA2="Any",$BA2=""),1,IF('All Data'!$C11=$BA2,1,0))</f>
        <v>1</v>
      </c>
      <c r="C11">
        <f>IF(OR($BA3="Any",$BA3=""),1,IF('All Data'!$D11=$BA3,1,0))</f>
        <v>1</v>
      </c>
      <c r="D11">
        <f>IF(OR($BA4="Any",$BA4=""),1,IF('All Data'!$E11=$BA4,1,0))</f>
        <v>1</v>
      </c>
      <c r="E11">
        <f>IF(OR($BA5="Any",$BA5=""),1,IF('All Data'!$F11=$BA5,1,0))</f>
        <v>1</v>
      </c>
      <c r="F11">
        <f>IF(OR($BA6="Any",$BA6=""),1,IF('All Data'!$G11=$BA6,1,0))</f>
        <v>0</v>
      </c>
      <c r="G11">
        <f>IF(AND(OR($BA$8="",ISNUMBER(SEARCH($BA$8,'All Data'!$K11&amp;" "&amp;'All Data'!$M11))),OR($BA$9="",ISNUMBER(SEARCH($BA$9,'All Data'!$K11&amp;" "&amp;'All Data'!$M11))),OR($BA$10="",ISNUMBER(SEARCH($BA$10,'All Data'!$K11&amp;" "&amp;'All Data'!$M11))),OR($BA$11="",ISNUMBER(SEARCH($BA$11,'All Data'!$K11&amp;" "&amp;'All Data'!$M11))),OR($BA$12="",ISNUMBER(SEARCH($BA$12,'All Data'!$K11&amp;" "&amp;'All Data'!$M11))),OR($BA$13="",ISNUMBER(SEARCH($BA$13,'All Data'!$K11&amp;" "&amp;'All Data'!$M11))),OR($BA$14="",ISNUMBER(SEARCH($BA$14,'All Data'!$K11&amp;" "&amp;'All Data'!$M11))),OR($BA$15="",ISNUMBER(SEARCH($BA$15,'All Data'!$K11&amp;" "&amp;'All Data'!$M11)))),1,0)</f>
        <v>1</v>
      </c>
      <c r="H11">
        <f t="shared" si="0"/>
        <v>1</v>
      </c>
      <c r="I11">
        <f>IF(AND($H11=1,'All Data'!$C11&lt;&gt;"",COUNTIFS($H$2:H10,1,'All Data'!$C$2:$C10,'All Data'!$C11)=0),1,0)</f>
        <v>0</v>
      </c>
      <c r="J11" t="str">
        <f>IF($I11=1,SUM($I$2:I11),"")</f>
        <v/>
      </c>
      <c r="K11">
        <f t="shared" si="1"/>
        <v>1</v>
      </c>
      <c r="L11">
        <f>IF(AND($K11=1,'All Data'!$D11&lt;&gt;"",COUNTIFS($K$2:K10,1,'All Data'!$D$2:$D10,'All Data'!$D11)=0),1,0)</f>
        <v>0</v>
      </c>
      <c r="M11" t="str">
        <f>IF($L11=1,SUM($L$2:L11),"")</f>
        <v/>
      </c>
      <c r="N11">
        <f t="shared" si="2"/>
        <v>1</v>
      </c>
      <c r="O11">
        <f>IF(AND($N11=1,'All Data'!$E11&lt;&gt;"",COUNTIFS($N$2:N10,1,'All Data'!$E$2:$E10,'All Data'!$E11)=0),1,0)</f>
        <v>0</v>
      </c>
      <c r="P11" t="str">
        <f>IF($O11=1,SUM($O$2:O11),"")</f>
        <v/>
      </c>
      <c r="Q11">
        <f t="shared" si="3"/>
        <v>1</v>
      </c>
      <c r="R11">
        <f>IF(AND($Q11=1,'All Data'!$F11&lt;&gt;"",COUNTIFS($Q$2:Q10,1,'All Data'!$F$2:$F10,'All Data'!$F11)=0),1,0)</f>
        <v>0</v>
      </c>
      <c r="S11" t="str">
        <f>IF($R11=1,SUM($R$2:R11),"")</f>
        <v/>
      </c>
      <c r="T11">
        <f t="shared" si="4"/>
        <v>1</v>
      </c>
      <c r="U11">
        <f>IF(AND($T11=1,'All Data'!$G11&lt;&gt;"",COUNTIFS($T$2:T10,1,'All Data'!$G$2:$G10,'All Data'!$G11)=0),1,0)</f>
        <v>1</v>
      </c>
      <c r="V11">
        <f>IF($U11=1,SUM($U$2:U11),"")</f>
        <v>8</v>
      </c>
      <c r="W11">
        <f t="shared" si="5"/>
        <v>0</v>
      </c>
      <c r="X11" t="str">
        <f>IF($W11=1,SUM($W$2:W11),"")</f>
        <v/>
      </c>
      <c r="Z11" t="str">
        <f>IFERROR(INDEX('All Data'!$C$2:$C$419,MATCH(9,$J$2:$J$419,0))&amp;"","")</f>
        <v/>
      </c>
      <c r="AB11" t="str">
        <f>IFERROR(INDEX('All Data'!$D$2:$D$419,MATCH(9,$M$2:$M$419,0))&amp;"","")</f>
        <v>Solid concrete wall</v>
      </c>
      <c r="AD11" t="str">
        <f>IFERROR(INDEX('All Data'!$E$2:$E$419,MATCH(9,$P$2:$P$419,0))&amp;"","")</f>
        <v/>
      </c>
      <c r="AF11" t="str">
        <f>IFERROR(INDEX('All Data'!$F$2:$F$419,MATCH(9,$S$2:$S$419,0))&amp;"","")</f>
        <v/>
      </c>
      <c r="AH11" t="str">
        <f>IFERROR(INDEX('All Data'!$G$2:$G$419,MATCH(9,$V$2:$V$419,0))&amp;"","")</f>
        <v>Pre-1919 uninsulated</v>
      </c>
      <c r="BA11" t="str">
        <f>TRIM(MID(SUBSTITUTE($BA$7," ",REPT(" ",99)),298,99))</f>
        <v/>
      </c>
    </row>
    <row r="12" spans="1:54" x14ac:dyDescent="0.3">
      <c r="A12">
        <f>IF(OR($BA1="Any",$BA1=""),1,IF('All Data'!$B12=$BA1,1,0))</f>
        <v>1</v>
      </c>
      <c r="B12">
        <f>IF(OR($BA2="Any",$BA2=""),1,IF('All Data'!$C12=$BA2,1,0))</f>
        <v>1</v>
      </c>
      <c r="C12">
        <f>IF(OR($BA3="Any",$BA3=""),1,IF('All Data'!$D12=$BA3,1,0))</f>
        <v>1</v>
      </c>
      <c r="D12">
        <f>IF(OR($BA4="Any",$BA4=""),1,IF('All Data'!$E12=$BA4,1,0))</f>
        <v>1</v>
      </c>
      <c r="E12">
        <f>IF(OR($BA5="Any",$BA5=""),1,IF('All Data'!$F12=$BA5,1,0))</f>
        <v>1</v>
      </c>
      <c r="F12">
        <f>IF(OR($BA6="Any",$BA6=""),1,IF('All Data'!$G12=$BA6,1,0))</f>
        <v>0</v>
      </c>
      <c r="G12">
        <f>IF(AND(OR($BA$8="",ISNUMBER(SEARCH($BA$8,'All Data'!$K12&amp;" "&amp;'All Data'!$M12))),OR($BA$9="",ISNUMBER(SEARCH($BA$9,'All Data'!$K12&amp;" "&amp;'All Data'!$M12))),OR($BA$10="",ISNUMBER(SEARCH($BA$10,'All Data'!$K12&amp;" "&amp;'All Data'!$M12))),OR($BA$11="",ISNUMBER(SEARCH($BA$11,'All Data'!$K12&amp;" "&amp;'All Data'!$M12))),OR($BA$12="",ISNUMBER(SEARCH($BA$12,'All Data'!$K12&amp;" "&amp;'All Data'!$M12))),OR($BA$13="",ISNUMBER(SEARCH($BA$13,'All Data'!$K12&amp;" "&amp;'All Data'!$M12))),OR($BA$14="",ISNUMBER(SEARCH($BA$14,'All Data'!$K12&amp;" "&amp;'All Data'!$M12))),OR($BA$15="",ISNUMBER(SEARCH($BA$15,'All Data'!$K12&amp;" "&amp;'All Data'!$M12)))),1,0)</f>
        <v>1</v>
      </c>
      <c r="H12">
        <f t="shared" si="0"/>
        <v>1</v>
      </c>
      <c r="I12">
        <f>IF(AND($H12=1,'All Data'!$C12&lt;&gt;"",COUNTIFS($H$2:H11,1,'All Data'!$C$2:$C11,'All Data'!$C12)=0),1,0)</f>
        <v>0</v>
      </c>
      <c r="J12" t="str">
        <f>IF($I12=1,SUM($I$2:I12),"")</f>
        <v/>
      </c>
      <c r="K12">
        <f t="shared" si="1"/>
        <v>1</v>
      </c>
      <c r="L12">
        <f>IF(AND($K12=1,'All Data'!$D12&lt;&gt;"",COUNTIFS($K$2:K11,1,'All Data'!$D$2:$D11,'All Data'!$D12)=0),1,0)</f>
        <v>1</v>
      </c>
      <c r="M12">
        <f>IF($L12=1,SUM($L$2:L12),"")</f>
        <v>6</v>
      </c>
      <c r="N12">
        <f t="shared" si="2"/>
        <v>1</v>
      </c>
      <c r="O12">
        <f>IF(AND($N12=1,'All Data'!$E12&lt;&gt;"",COUNTIFS($N$2:N11,1,'All Data'!$E$2:$E11,'All Data'!$E12)=0),1,0)</f>
        <v>0</v>
      </c>
      <c r="P12" t="str">
        <f>IF($O12=1,SUM($O$2:O12),"")</f>
        <v/>
      </c>
      <c r="Q12">
        <f t="shared" si="3"/>
        <v>1</v>
      </c>
      <c r="R12">
        <f>IF(AND($Q12=1,'All Data'!$F12&lt;&gt;"",COUNTIFS($Q$2:Q11,1,'All Data'!$F$2:$F11,'All Data'!$F12)=0),1,0)</f>
        <v>0</v>
      </c>
      <c r="S12" t="str">
        <f>IF($R12=1,SUM($R$2:R12),"")</f>
        <v/>
      </c>
      <c r="T12">
        <f t="shared" si="4"/>
        <v>1</v>
      </c>
      <c r="U12">
        <f>IF(AND($T12=1,'All Data'!$G12&lt;&gt;"",COUNTIFS($T$2:T11,1,'All Data'!$G$2:$G11,'All Data'!$G12)=0),1,0)</f>
        <v>1</v>
      </c>
      <c r="V12">
        <f>IF($U12=1,SUM($U$2:U12),"")</f>
        <v>9</v>
      </c>
      <c r="W12">
        <f t="shared" si="5"/>
        <v>0</v>
      </c>
      <c r="X12" t="str">
        <f>IF($W12=1,SUM($W$2:W12),"")</f>
        <v/>
      </c>
      <c r="Z12" t="str">
        <f>IFERROR(INDEX('All Data'!$C$2:$C$419,MATCH(10,$J$2:$J$419,0))&amp;"","")</f>
        <v/>
      </c>
      <c r="AB12" t="str">
        <f>IFERROR(INDEX('All Data'!$D$2:$D$419,MATCH(10,$M$2:$M$419,0))&amp;"","")</f>
        <v>Solid no fines concrete wall</v>
      </c>
      <c r="AD12" t="str">
        <f>IFERROR(INDEX('All Data'!$E$2:$E$419,MATCH(10,$P$2:$P$419,0))&amp;"","")</f>
        <v/>
      </c>
      <c r="AF12" t="str">
        <f>IFERROR(INDEX('All Data'!$F$2:$F$419,MATCH(10,$S$2:$S$419,0))&amp;"","")</f>
        <v/>
      </c>
      <c r="AH12" t="str">
        <f>IFERROR(INDEX('All Data'!$G$2:$G$419,MATCH(10,$V$2:$V$419,0))&amp;"","")</f>
        <v>1974-1980</v>
      </c>
      <c r="BA12" t="str">
        <f>TRIM(MID(SUBSTITUTE($BA$7," ",REPT(" ",99)),397,99))</f>
        <v/>
      </c>
    </row>
    <row r="13" spans="1:54" x14ac:dyDescent="0.3">
      <c r="A13">
        <f>IF(OR($BA1="Any",$BA1=""),1,IF('All Data'!$B13=$BA1,1,0))</f>
        <v>1</v>
      </c>
      <c r="B13">
        <f>IF(OR($BA2="Any",$BA2=""),1,IF('All Data'!$C13=$BA2,1,0))</f>
        <v>1</v>
      </c>
      <c r="C13">
        <f>IF(OR($BA3="Any",$BA3=""),1,IF('All Data'!$D13=$BA3,1,0))</f>
        <v>1</v>
      </c>
      <c r="D13">
        <f>IF(OR($BA4="Any",$BA4=""),1,IF('All Data'!$E13=$BA4,1,0))</f>
        <v>1</v>
      </c>
      <c r="E13">
        <f>IF(OR($BA5="Any",$BA5=""),1,IF('All Data'!$F13=$BA5,1,0))</f>
        <v>1</v>
      </c>
      <c r="F13">
        <f>IF(OR($BA6="Any",$BA6=""),1,IF('All Data'!$G13=$BA6,1,0))</f>
        <v>0</v>
      </c>
      <c r="G13">
        <f>IF(AND(OR($BA$8="",ISNUMBER(SEARCH($BA$8,'All Data'!$K13&amp;" "&amp;'All Data'!$M13))),OR($BA$9="",ISNUMBER(SEARCH($BA$9,'All Data'!$K13&amp;" "&amp;'All Data'!$M13))),OR($BA$10="",ISNUMBER(SEARCH($BA$10,'All Data'!$K13&amp;" "&amp;'All Data'!$M13))),OR($BA$11="",ISNUMBER(SEARCH($BA$11,'All Data'!$K13&amp;" "&amp;'All Data'!$M13))),OR($BA$12="",ISNUMBER(SEARCH($BA$12,'All Data'!$K13&amp;" "&amp;'All Data'!$M13))),OR($BA$13="",ISNUMBER(SEARCH($BA$13,'All Data'!$K13&amp;" "&amp;'All Data'!$M13))),OR($BA$14="",ISNUMBER(SEARCH($BA$14,'All Data'!$K13&amp;" "&amp;'All Data'!$M13))),OR($BA$15="",ISNUMBER(SEARCH($BA$15,'All Data'!$K13&amp;" "&amp;'All Data'!$M13)))),1,0)</f>
        <v>1</v>
      </c>
      <c r="H13">
        <f t="shared" si="0"/>
        <v>1</v>
      </c>
      <c r="I13">
        <f>IF(AND($H13=1,'All Data'!$C13&lt;&gt;"",COUNTIFS($H$2:H12,1,'All Data'!$C$2:$C12,'All Data'!$C13)=0),1,0)</f>
        <v>0</v>
      </c>
      <c r="J13" t="str">
        <f>IF($I13=1,SUM($I$2:I13),"")</f>
        <v/>
      </c>
      <c r="K13">
        <f t="shared" si="1"/>
        <v>1</v>
      </c>
      <c r="L13">
        <f>IF(AND($K13=1,'All Data'!$D13&lt;&gt;"",COUNTIFS($K$2:K12,1,'All Data'!$D$2:$D12,'All Data'!$D13)=0),1,0)</f>
        <v>1</v>
      </c>
      <c r="M13">
        <f>IF($L13=1,SUM($L$2:L13),"")</f>
        <v>7</v>
      </c>
      <c r="N13">
        <f t="shared" si="2"/>
        <v>1</v>
      </c>
      <c r="O13">
        <f>IF(AND($N13=1,'All Data'!$E13&lt;&gt;"",COUNTIFS($N$2:N12,1,'All Data'!$E$2:$E12,'All Data'!$E13)=0),1,0)</f>
        <v>0</v>
      </c>
      <c r="P13" t="str">
        <f>IF($O13=1,SUM($O$2:O13),"")</f>
        <v/>
      </c>
      <c r="Q13">
        <f t="shared" si="3"/>
        <v>1</v>
      </c>
      <c r="R13">
        <f>IF(AND($Q13=1,'All Data'!$F13&lt;&gt;"",COUNTIFS($Q$2:Q12,1,'All Data'!$F$2:$F12,'All Data'!$F13)=0),1,0)</f>
        <v>0</v>
      </c>
      <c r="S13" t="str">
        <f>IF($R13=1,SUM($R$2:R13),"")</f>
        <v/>
      </c>
      <c r="T13">
        <f t="shared" si="4"/>
        <v>1</v>
      </c>
      <c r="U13">
        <f>IF(AND($T13=1,'All Data'!$G13&lt;&gt;"",COUNTIFS($T$2:T12,1,'All Data'!$G$2:$G12,'All Data'!$G13)=0),1,0)</f>
        <v>0</v>
      </c>
      <c r="V13" t="str">
        <f>IF($U13=1,SUM($U$2:U13),"")</f>
        <v/>
      </c>
      <c r="W13">
        <f t="shared" si="5"/>
        <v>0</v>
      </c>
      <c r="X13" t="str">
        <f>IF($W13=1,SUM($W$2:W13),"")</f>
        <v/>
      </c>
      <c r="Z13" t="str">
        <f>IFERROR(INDEX('All Data'!$C$2:$C$419,MATCH(11,$J$2:$J$419,0))&amp;"","")</f>
        <v/>
      </c>
      <c r="AB13" t="str">
        <f>IFERROR(INDEX('All Data'!$D$2:$D$419,MATCH(11,$M$2:$M$419,0))&amp;"","")</f>
        <v>Solid stone wall – Granite or Whin</v>
      </c>
      <c r="AD13" t="str">
        <f>IFERROR(INDEX('All Data'!$E$2:$E$419,MATCH(11,$P$2:$P$419,0))&amp;"","")</f>
        <v/>
      </c>
      <c r="AF13" t="str">
        <f>IFERROR(INDEX('All Data'!$F$2:$F$419,MATCH(11,$S$2:$S$419,0))&amp;"","")</f>
        <v/>
      </c>
      <c r="AH13" t="str">
        <f>IFERROR(INDEX('All Data'!$G$2:$G$419,MATCH(11,$V$2:$V$419,0))&amp;"","")</f>
        <v>1980/85</v>
      </c>
      <c r="BA13" t="str">
        <f>TRIM(MID(SUBSTITUTE($BA$7," ",REPT(" ",99)),496,99))</f>
        <v/>
      </c>
    </row>
    <row r="14" spans="1:54" x14ac:dyDescent="0.3">
      <c r="A14">
        <f>IF(OR($BA1="Any",$BA1=""),1,IF('All Data'!$B14=$BA1,1,0))</f>
        <v>1</v>
      </c>
      <c r="B14">
        <f>IF(OR($BA2="Any",$BA2=""),1,IF('All Data'!$C14=$BA2,1,0))</f>
        <v>1</v>
      </c>
      <c r="C14">
        <f>IF(OR($BA3="Any",$BA3=""),1,IF('All Data'!$D14=$BA3,1,0))</f>
        <v>1</v>
      </c>
      <c r="D14">
        <f>IF(OR($BA4="Any",$BA4=""),1,IF('All Data'!$E14=$BA4,1,0))</f>
        <v>1</v>
      </c>
      <c r="E14">
        <f>IF(OR($BA5="Any",$BA5=""),1,IF('All Data'!$F14=$BA5,1,0))</f>
        <v>1</v>
      </c>
      <c r="F14">
        <f>IF(OR($BA6="Any",$BA6=""),1,IF('All Data'!$G14=$BA6,1,0))</f>
        <v>0</v>
      </c>
      <c r="G14">
        <f>IF(AND(OR($BA$8="",ISNUMBER(SEARCH($BA$8,'All Data'!$K14&amp;" "&amp;'All Data'!$M14))),OR($BA$9="",ISNUMBER(SEARCH($BA$9,'All Data'!$K14&amp;" "&amp;'All Data'!$M14))),OR($BA$10="",ISNUMBER(SEARCH($BA$10,'All Data'!$K14&amp;" "&amp;'All Data'!$M14))),OR($BA$11="",ISNUMBER(SEARCH($BA$11,'All Data'!$K14&amp;" "&amp;'All Data'!$M14))),OR($BA$12="",ISNUMBER(SEARCH($BA$12,'All Data'!$K14&amp;" "&amp;'All Data'!$M14))),OR($BA$13="",ISNUMBER(SEARCH($BA$13,'All Data'!$K14&amp;" "&amp;'All Data'!$M14))),OR($BA$14="",ISNUMBER(SEARCH($BA$14,'All Data'!$K14&amp;" "&amp;'All Data'!$M14))),OR($BA$15="",ISNUMBER(SEARCH($BA$15,'All Data'!$K14&amp;" "&amp;'All Data'!$M14)))),1,0)</f>
        <v>1</v>
      </c>
      <c r="H14">
        <f t="shared" si="0"/>
        <v>1</v>
      </c>
      <c r="I14">
        <f>IF(AND($H14=1,'All Data'!$C14&lt;&gt;"",COUNTIFS($H$2:H13,1,'All Data'!$C$2:$C13,'All Data'!$C14)=0),1,0)</f>
        <v>0</v>
      </c>
      <c r="J14" t="str">
        <f>IF($I14=1,SUM($I$2:I14),"")</f>
        <v/>
      </c>
      <c r="K14">
        <f t="shared" si="1"/>
        <v>1</v>
      </c>
      <c r="L14">
        <f>IF(AND($K14=1,'All Data'!$D14&lt;&gt;"",COUNTIFS($K$2:K13,1,'All Data'!$D$2:$D13,'All Data'!$D14)=0),1,0)</f>
        <v>0</v>
      </c>
      <c r="M14" t="str">
        <f>IF($L14=1,SUM($L$2:L14),"")</f>
        <v/>
      </c>
      <c r="N14">
        <f t="shared" si="2"/>
        <v>1</v>
      </c>
      <c r="O14">
        <f>IF(AND($N14=1,'All Data'!$E14&lt;&gt;"",COUNTIFS($N$2:N13,1,'All Data'!$E$2:$E13,'All Data'!$E14)=0),1,0)</f>
        <v>0</v>
      </c>
      <c r="P14" t="str">
        <f>IF($O14=1,SUM($O$2:O14),"")</f>
        <v/>
      </c>
      <c r="Q14">
        <f t="shared" si="3"/>
        <v>1</v>
      </c>
      <c r="R14">
        <f>IF(AND($Q14=1,'All Data'!$F14&lt;&gt;"",COUNTIFS($Q$2:Q13,1,'All Data'!$F$2:$F13,'All Data'!$F14)=0),1,0)</f>
        <v>0</v>
      </c>
      <c r="S14" t="str">
        <f>IF($R14=1,SUM($R$2:R14),"")</f>
        <v/>
      </c>
      <c r="T14">
        <f t="shared" si="4"/>
        <v>1</v>
      </c>
      <c r="U14">
        <f>IF(AND($T14=1,'All Data'!$G14&lt;&gt;"",COUNTIFS($T$2:T13,1,'All Data'!$G$2:$G13,'All Data'!$G14)=0),1,0)</f>
        <v>0</v>
      </c>
      <c r="V14" t="str">
        <f>IF($U14=1,SUM($U$2:U14),"")</f>
        <v/>
      </c>
      <c r="W14">
        <f t="shared" si="5"/>
        <v>0</v>
      </c>
      <c r="X14" t="str">
        <f>IF($W14=1,SUM($W$2:W14),"")</f>
        <v/>
      </c>
      <c r="Z14" t="str">
        <f>IFERROR(INDEX('All Data'!$C$2:$C$419,MATCH(12,$J$2:$J$419,0))&amp;"","")</f>
        <v/>
      </c>
      <c r="AB14" t="str">
        <f>IFERROR(INDEX('All Data'!$D$2:$D$419,MATCH(12,$M$2:$M$419,0))&amp;"","")</f>
        <v>Solid stone wall – Sandstone</v>
      </c>
      <c r="AD14" t="str">
        <f>IFERROR(INDEX('All Data'!$E$2:$E$419,MATCH(12,$P$2:$P$419,0))&amp;"","")</f>
        <v/>
      </c>
      <c r="AF14" t="str">
        <f>IFERROR(INDEX('All Data'!$F$2:$F$419,MATCH(12,$S$2:$S$419,0))&amp;"","")</f>
        <v/>
      </c>
      <c r="AH14" t="str">
        <f>IFERROR(INDEX('All Data'!$G$2:$G$419,MATCH(12,$V$2:$V$419,0))&amp;"","")</f>
        <v>1990</v>
      </c>
      <c r="BA14" t="str">
        <f>TRIM(MID(SUBSTITUTE($BA$7," ",REPT(" ",99)),595,99))</f>
        <v/>
      </c>
    </row>
    <row r="15" spans="1:54" x14ac:dyDescent="0.3">
      <c r="A15">
        <f>IF(OR($BA1="Any",$BA1=""),1,IF('All Data'!$B15=$BA1,1,0))</f>
        <v>1</v>
      </c>
      <c r="B15">
        <f>IF(OR($BA2="Any",$BA2=""),1,IF('All Data'!$C15=$BA2,1,0))</f>
        <v>1</v>
      </c>
      <c r="C15">
        <f>IF(OR($BA3="Any",$BA3=""),1,IF('All Data'!$D15=$BA3,1,0))</f>
        <v>1</v>
      </c>
      <c r="D15">
        <f>IF(OR($BA4="Any",$BA4=""),1,IF('All Data'!$E15=$BA4,1,0))</f>
        <v>1</v>
      </c>
      <c r="E15">
        <f>IF(OR($BA5="Any",$BA5=""),1,IF('All Data'!$F15=$BA5,1,0))</f>
        <v>1</v>
      </c>
      <c r="F15">
        <f>IF(OR($BA6="Any",$BA6=""),1,IF('All Data'!$G15=$BA6,1,0))</f>
        <v>0</v>
      </c>
      <c r="G15">
        <f>IF(AND(OR($BA$8="",ISNUMBER(SEARCH($BA$8,'All Data'!$K15&amp;" "&amp;'All Data'!$M15))),OR($BA$9="",ISNUMBER(SEARCH($BA$9,'All Data'!$K15&amp;" "&amp;'All Data'!$M15))),OR($BA$10="",ISNUMBER(SEARCH($BA$10,'All Data'!$K15&amp;" "&amp;'All Data'!$M15))),OR($BA$11="",ISNUMBER(SEARCH($BA$11,'All Data'!$K15&amp;" "&amp;'All Data'!$M15))),OR($BA$12="",ISNUMBER(SEARCH($BA$12,'All Data'!$K15&amp;" "&amp;'All Data'!$M15))),OR($BA$13="",ISNUMBER(SEARCH($BA$13,'All Data'!$K15&amp;" "&amp;'All Data'!$M15))),OR($BA$14="",ISNUMBER(SEARCH($BA$14,'All Data'!$K15&amp;" "&amp;'All Data'!$M15))),OR($BA$15="",ISNUMBER(SEARCH($BA$15,'All Data'!$K15&amp;" "&amp;'All Data'!$M15)))),1,0)</f>
        <v>1</v>
      </c>
      <c r="H15">
        <f t="shared" si="0"/>
        <v>1</v>
      </c>
      <c r="I15">
        <f>IF(AND($H15=1,'All Data'!$C15&lt;&gt;"",COUNTIFS($H$2:H14,1,'All Data'!$C$2:$C14,'All Data'!$C15)=0),1,0)</f>
        <v>0</v>
      </c>
      <c r="J15" t="str">
        <f>IF($I15=1,SUM($I$2:I15),"")</f>
        <v/>
      </c>
      <c r="K15">
        <f t="shared" si="1"/>
        <v>1</v>
      </c>
      <c r="L15">
        <f>IF(AND($K15=1,'All Data'!$D15&lt;&gt;"",COUNTIFS($K$2:K14,1,'All Data'!$D$2:$D14,'All Data'!$D15)=0),1,0)</f>
        <v>1</v>
      </c>
      <c r="M15">
        <f>IF($L15=1,SUM($L$2:L15),"")</f>
        <v>8</v>
      </c>
      <c r="N15">
        <f t="shared" si="2"/>
        <v>1</v>
      </c>
      <c r="O15">
        <f>IF(AND($N15=1,'All Data'!$E15&lt;&gt;"",COUNTIFS($N$2:N14,1,'All Data'!$E$2:$E14,'All Data'!$E15)=0),1,0)</f>
        <v>0</v>
      </c>
      <c r="P15" t="str">
        <f>IF($O15=1,SUM($O$2:O15),"")</f>
        <v/>
      </c>
      <c r="Q15">
        <f t="shared" si="3"/>
        <v>1</v>
      </c>
      <c r="R15">
        <f>IF(AND($Q15=1,'All Data'!$F15&lt;&gt;"",COUNTIFS($Q$2:Q14,1,'All Data'!$F$2:$F14,'All Data'!$F15)=0),1,0)</f>
        <v>0</v>
      </c>
      <c r="S15" t="str">
        <f>IF($R15=1,SUM($R$2:R15),"")</f>
        <v/>
      </c>
      <c r="T15">
        <f t="shared" si="4"/>
        <v>1</v>
      </c>
      <c r="U15">
        <f>IF(AND($T15=1,'All Data'!$G15&lt;&gt;"",COUNTIFS($T$2:T14,1,'All Data'!$G$2:$G14,'All Data'!$G15)=0),1,0)</f>
        <v>0</v>
      </c>
      <c r="V15" t="str">
        <f>IF($U15=1,SUM($U$2:U15),"")</f>
        <v/>
      </c>
      <c r="W15">
        <f t="shared" si="5"/>
        <v>0</v>
      </c>
      <c r="X15" t="str">
        <f>IF($W15=1,SUM($W$2:W15),"")</f>
        <v/>
      </c>
      <c r="Z15" t="str">
        <f>IFERROR(INDEX('All Data'!$C$2:$C$419,MATCH(13,$J$2:$J$419,0))&amp;"","")</f>
        <v/>
      </c>
      <c r="AB15" t="str">
        <f>IFERROR(INDEX('All Data'!$D$2:$D$419,MATCH(13,$M$2:$M$419,0))&amp;"","")</f>
        <v>Solid wall</v>
      </c>
      <c r="AD15" t="str">
        <f>IFERROR(INDEX('All Data'!$E$2:$E$419,MATCH(13,$P$2:$P$419,0))&amp;"","")</f>
        <v/>
      </c>
      <c r="AF15" t="str">
        <f>IFERROR(INDEX('All Data'!$F$2:$F$419,MATCH(13,$S$2:$S$419,0))&amp;"","")</f>
        <v/>
      </c>
      <c r="AH15" t="str">
        <f>IFERROR(INDEX('All Data'!$G$2:$G$419,MATCH(13,$V$2:$V$419,0))&amp;"","")</f>
        <v>1995</v>
      </c>
      <c r="BA15" t="str">
        <f>TRIM(MID(SUBSTITUTE($BA$7," ",REPT(" ",99)),694,99))</f>
        <v/>
      </c>
    </row>
    <row r="16" spans="1:54" x14ac:dyDescent="0.3">
      <c r="A16">
        <f>IF(OR($BA1="Any",$BA1=""),1,IF('All Data'!$B16=$BA1,1,0))</f>
        <v>1</v>
      </c>
      <c r="B16">
        <f>IF(OR($BA2="Any",$BA2=""),1,IF('All Data'!$C16=$BA2,1,0))</f>
        <v>1</v>
      </c>
      <c r="C16">
        <f>IF(OR($BA3="Any",$BA3=""),1,IF('All Data'!$D16=$BA3,1,0))</f>
        <v>1</v>
      </c>
      <c r="D16">
        <f>IF(OR($BA4="Any",$BA4=""),1,IF('All Data'!$E16=$BA4,1,0))</f>
        <v>1</v>
      </c>
      <c r="E16">
        <f>IF(OR($BA5="Any",$BA5=""),1,IF('All Data'!$F16=$BA5,1,0))</f>
        <v>1</v>
      </c>
      <c r="F16">
        <f>IF(OR($BA6="Any",$BA6=""),1,IF('All Data'!$G16=$BA6,1,0))</f>
        <v>0</v>
      </c>
      <c r="G16">
        <f>IF(AND(OR($BA$8="",ISNUMBER(SEARCH($BA$8,'All Data'!$K16&amp;" "&amp;'All Data'!$M16))),OR($BA$9="",ISNUMBER(SEARCH($BA$9,'All Data'!$K16&amp;" "&amp;'All Data'!$M16))),OR($BA$10="",ISNUMBER(SEARCH($BA$10,'All Data'!$K16&amp;" "&amp;'All Data'!$M16))),OR($BA$11="",ISNUMBER(SEARCH($BA$11,'All Data'!$K16&amp;" "&amp;'All Data'!$M16))),OR($BA$12="",ISNUMBER(SEARCH($BA$12,'All Data'!$K16&amp;" "&amp;'All Data'!$M16))),OR($BA$13="",ISNUMBER(SEARCH($BA$13,'All Data'!$K16&amp;" "&amp;'All Data'!$M16))),OR($BA$14="",ISNUMBER(SEARCH($BA$14,'All Data'!$K16&amp;" "&amp;'All Data'!$M16))),OR($BA$15="",ISNUMBER(SEARCH($BA$15,'All Data'!$K16&amp;" "&amp;'All Data'!$M16)))),1,0)</f>
        <v>1</v>
      </c>
      <c r="H16">
        <f t="shared" si="0"/>
        <v>1</v>
      </c>
      <c r="I16">
        <f>IF(AND($H16=1,'All Data'!$C16&lt;&gt;"",COUNTIFS($H$2:H15,1,'All Data'!$C$2:$C15,'All Data'!$C16)=0),1,0)</f>
        <v>0</v>
      </c>
      <c r="J16" t="str">
        <f>IF($I16=1,SUM($I$2:I16),"")</f>
        <v/>
      </c>
      <c r="K16">
        <f t="shared" si="1"/>
        <v>1</v>
      </c>
      <c r="L16">
        <f>IF(AND($K16=1,'All Data'!$D16&lt;&gt;"",COUNTIFS($K$2:K15,1,'All Data'!$D$2:$D15,'All Data'!$D16)=0),1,0)</f>
        <v>0</v>
      </c>
      <c r="M16" t="str">
        <f>IF($L16=1,SUM($L$2:L16),"")</f>
        <v/>
      </c>
      <c r="N16">
        <f t="shared" si="2"/>
        <v>1</v>
      </c>
      <c r="O16">
        <f>IF(AND($N16=1,'All Data'!$E16&lt;&gt;"",COUNTIFS($N$2:N15,1,'All Data'!$E$2:$E15,'All Data'!$E16)=0),1,0)</f>
        <v>0</v>
      </c>
      <c r="P16" t="str">
        <f>IF($O16=1,SUM($O$2:O16),"")</f>
        <v/>
      </c>
      <c r="Q16">
        <f t="shared" si="3"/>
        <v>1</v>
      </c>
      <c r="R16">
        <f>IF(AND($Q16=1,'All Data'!$F16&lt;&gt;"",COUNTIFS($Q$2:Q15,1,'All Data'!$F$2:$F15,'All Data'!$F16)=0),1,0)</f>
        <v>0</v>
      </c>
      <c r="S16" t="str">
        <f>IF($R16=1,SUM($R$2:R16),"")</f>
        <v/>
      </c>
      <c r="T16">
        <f t="shared" si="4"/>
        <v>1</v>
      </c>
      <c r="U16">
        <f>IF(AND($T16=1,'All Data'!$G16&lt;&gt;"",COUNTIFS($T$2:T15,1,'All Data'!$G$2:$G15,'All Data'!$G16)=0),1,0)</f>
        <v>0</v>
      </c>
      <c r="V16" t="str">
        <f>IF($U16=1,SUM($U$2:U16),"")</f>
        <v/>
      </c>
      <c r="W16">
        <f t="shared" si="5"/>
        <v>0</v>
      </c>
      <c r="X16" t="str">
        <f>IF($W16=1,SUM($W$2:W16),"")</f>
        <v/>
      </c>
      <c r="Z16" t="str">
        <f>IFERROR(INDEX('All Data'!$C$2:$C$419,MATCH(14,$J$2:$J$419,0))&amp;"","")</f>
        <v/>
      </c>
      <c r="AB16" t="str">
        <f>IFERROR(INDEX('All Data'!$D$2:$D$419,MATCH(14,$M$2:$M$419,0))&amp;"","")</f>
        <v>Clear cavity wall</v>
      </c>
      <c r="AD16" t="str">
        <f>IFERROR(INDEX('All Data'!$E$2:$E$419,MATCH(14,$P$2:$P$419,0))&amp;"","")</f>
        <v/>
      </c>
      <c r="AF16" t="str">
        <f>IFERROR(INDEX('All Data'!$F$2:$F$419,MATCH(14,$S$2:$S$419,0))&amp;"","")</f>
        <v/>
      </c>
      <c r="AH16" t="str">
        <f>IFERROR(INDEX('All Data'!$G$2:$G$419,MATCH(14,$V$2:$V$419,0))&amp;"","")</f>
        <v>2002</v>
      </c>
      <c r="BA16" t="str">
        <f>TRIM(MID(SUBSTITUTE($BA$7," ",REPT(" ",99)),793,99))</f>
        <v/>
      </c>
    </row>
    <row r="17" spans="1:34" x14ac:dyDescent="0.3">
      <c r="A17">
        <f>IF(OR($BA1="Any",$BA1=""),1,IF('All Data'!$B17=$BA1,1,0))</f>
        <v>1</v>
      </c>
      <c r="B17">
        <f>IF(OR($BA2="Any",$BA2=""),1,IF('All Data'!$C17=$BA2,1,0))</f>
        <v>1</v>
      </c>
      <c r="C17">
        <f>IF(OR($BA3="Any",$BA3=""),1,IF('All Data'!$D17=$BA3,1,0))</f>
        <v>1</v>
      </c>
      <c r="D17">
        <f>IF(OR($BA4="Any",$BA4=""),1,IF('All Data'!$E17=$BA4,1,0))</f>
        <v>1</v>
      </c>
      <c r="E17">
        <f>IF(OR($BA5="Any",$BA5=""),1,IF('All Data'!$F17=$BA5,1,0))</f>
        <v>1</v>
      </c>
      <c r="F17">
        <f>IF(OR($BA6="Any",$BA6=""),1,IF('All Data'!$G17=$BA6,1,0))</f>
        <v>0</v>
      </c>
      <c r="G17">
        <f>IF(AND(OR($BA$8="",ISNUMBER(SEARCH($BA$8,'All Data'!$K17&amp;" "&amp;'All Data'!$M17))),OR($BA$9="",ISNUMBER(SEARCH($BA$9,'All Data'!$K17&amp;" "&amp;'All Data'!$M17))),OR($BA$10="",ISNUMBER(SEARCH($BA$10,'All Data'!$K17&amp;" "&amp;'All Data'!$M17))),OR($BA$11="",ISNUMBER(SEARCH($BA$11,'All Data'!$K17&amp;" "&amp;'All Data'!$M17))),OR($BA$12="",ISNUMBER(SEARCH($BA$12,'All Data'!$K17&amp;" "&amp;'All Data'!$M17))),OR($BA$13="",ISNUMBER(SEARCH($BA$13,'All Data'!$K17&amp;" "&amp;'All Data'!$M17))),OR($BA$14="",ISNUMBER(SEARCH($BA$14,'All Data'!$K17&amp;" "&amp;'All Data'!$M17))),OR($BA$15="",ISNUMBER(SEARCH($BA$15,'All Data'!$K17&amp;" "&amp;'All Data'!$M17)))),1,0)</f>
        <v>1</v>
      </c>
      <c r="H17">
        <f t="shared" si="0"/>
        <v>1</v>
      </c>
      <c r="I17">
        <f>IF(AND($H17=1,'All Data'!$C17&lt;&gt;"",COUNTIFS($H$2:H16,1,'All Data'!$C$2:$C16,'All Data'!$C17)=0),1,0)</f>
        <v>0</v>
      </c>
      <c r="J17" t="str">
        <f>IF($I17=1,SUM($I$2:I17),"")</f>
        <v/>
      </c>
      <c r="K17">
        <f t="shared" si="1"/>
        <v>1</v>
      </c>
      <c r="L17">
        <f>IF(AND($K17=1,'All Data'!$D17&lt;&gt;"",COUNTIFS($K$2:K16,1,'All Data'!$D$2:$D16,'All Data'!$D17)=0),1,0)</f>
        <v>0</v>
      </c>
      <c r="M17" t="str">
        <f>IF($L17=1,SUM($L$2:L17),"")</f>
        <v/>
      </c>
      <c r="N17">
        <f t="shared" si="2"/>
        <v>1</v>
      </c>
      <c r="O17">
        <f>IF(AND($N17=1,'All Data'!$E17&lt;&gt;"",COUNTIFS($N$2:N16,1,'All Data'!$E$2:$E16,'All Data'!$E17)=0),1,0)</f>
        <v>0</v>
      </c>
      <c r="P17" t="str">
        <f>IF($O17=1,SUM($O$2:O17),"")</f>
        <v/>
      </c>
      <c r="Q17">
        <f t="shared" si="3"/>
        <v>1</v>
      </c>
      <c r="R17">
        <f>IF(AND($Q17=1,'All Data'!$F17&lt;&gt;"",COUNTIFS($Q$2:Q16,1,'All Data'!$F$2:$F16,'All Data'!$F17)=0),1,0)</f>
        <v>0</v>
      </c>
      <c r="S17" t="str">
        <f>IF($R17=1,SUM($R$2:R17),"")</f>
        <v/>
      </c>
      <c r="T17">
        <f t="shared" si="4"/>
        <v>1</v>
      </c>
      <c r="U17">
        <f>IF(AND($T17=1,'All Data'!$G17&lt;&gt;"",COUNTIFS($T$2:T16,1,'All Data'!$G$2:$G16,'All Data'!$G17)=0),1,0)</f>
        <v>0</v>
      </c>
      <c r="V17" t="str">
        <f>IF($U17=1,SUM($U$2:U17),"")</f>
        <v/>
      </c>
      <c r="W17">
        <f t="shared" si="5"/>
        <v>0</v>
      </c>
      <c r="X17" t="str">
        <f>IF($W17=1,SUM($W$2:W17),"")</f>
        <v/>
      </c>
      <c r="Z17" t="str">
        <f>IFERROR(INDEX('All Data'!$C$2:$C$419,MATCH(15,$J$2:$J$419,0))&amp;"","")</f>
        <v/>
      </c>
      <c r="AB17" t="str">
        <f>IFERROR(INDEX('All Data'!$D$2:$D$419,MATCH(15,$M$2:$M$419,0))&amp;"","")</f>
        <v>Cavity wall</v>
      </c>
      <c r="AD17" t="str">
        <f>IFERROR(INDEX('All Data'!$E$2:$E$419,MATCH(15,$P$2:$P$419,0))&amp;"","")</f>
        <v/>
      </c>
      <c r="AF17" t="str">
        <f>IFERROR(INDEX('All Data'!$F$2:$F$419,MATCH(15,$S$2:$S$419,0))&amp;"","")</f>
        <v/>
      </c>
      <c r="AH17" t="str">
        <f>IFERROR(INDEX('All Data'!$G$2:$G$419,MATCH(15,$V$2:$V$419,0))&amp;"","")</f>
        <v>2006/2010</v>
      </c>
    </row>
    <row r="18" spans="1:34" x14ac:dyDescent="0.3">
      <c r="A18">
        <f>IF(OR($BA1="Any",$BA1=""),1,IF('All Data'!$B18=$BA1,1,0))</f>
        <v>1</v>
      </c>
      <c r="B18">
        <f>IF(OR($BA2="Any",$BA2=""),1,IF('All Data'!$C18=$BA2,1,0))</f>
        <v>1</v>
      </c>
      <c r="C18">
        <f>IF(OR($BA3="Any",$BA3=""),1,IF('All Data'!$D18=$BA3,1,0))</f>
        <v>1</v>
      </c>
      <c r="D18">
        <f>IF(OR($BA4="Any",$BA4=""),1,IF('All Data'!$E18=$BA4,1,0))</f>
        <v>1</v>
      </c>
      <c r="E18">
        <f>IF(OR($BA5="Any",$BA5=""),1,IF('All Data'!$F18=$BA5,1,0))</f>
        <v>1</v>
      </c>
      <c r="F18">
        <f>IF(OR($BA6="Any",$BA6=""),1,IF('All Data'!$G18=$BA6,1,0))</f>
        <v>0</v>
      </c>
      <c r="G18">
        <f>IF(AND(OR($BA$8="",ISNUMBER(SEARCH($BA$8,'All Data'!$K18&amp;" "&amp;'All Data'!$M18))),OR($BA$9="",ISNUMBER(SEARCH($BA$9,'All Data'!$K18&amp;" "&amp;'All Data'!$M18))),OR($BA$10="",ISNUMBER(SEARCH($BA$10,'All Data'!$K18&amp;" "&amp;'All Data'!$M18))),OR($BA$11="",ISNUMBER(SEARCH($BA$11,'All Data'!$K18&amp;" "&amp;'All Data'!$M18))),OR($BA$12="",ISNUMBER(SEARCH($BA$12,'All Data'!$K18&amp;" "&amp;'All Data'!$M18))),OR($BA$13="",ISNUMBER(SEARCH($BA$13,'All Data'!$K18&amp;" "&amp;'All Data'!$M18))),OR($BA$14="",ISNUMBER(SEARCH($BA$14,'All Data'!$K18&amp;" "&amp;'All Data'!$M18))),OR($BA$15="",ISNUMBER(SEARCH($BA$15,'All Data'!$K18&amp;" "&amp;'All Data'!$M18)))),1,0)</f>
        <v>1</v>
      </c>
      <c r="H18">
        <f t="shared" si="0"/>
        <v>1</v>
      </c>
      <c r="I18">
        <f>IF(AND($H18=1,'All Data'!$C18&lt;&gt;"",COUNTIFS($H$2:H17,1,'All Data'!$C$2:$C17,'All Data'!$C18)=0),1,0)</f>
        <v>0</v>
      </c>
      <c r="J18" t="str">
        <f>IF($I18=1,SUM($I$2:I18),"")</f>
        <v/>
      </c>
      <c r="K18">
        <f t="shared" si="1"/>
        <v>1</v>
      </c>
      <c r="L18">
        <f>IF(AND($K18=1,'All Data'!$D18&lt;&gt;"",COUNTIFS($K$2:K17,1,'All Data'!$D$2:$D17,'All Data'!$D18)=0),1,0)</f>
        <v>1</v>
      </c>
      <c r="M18">
        <f>IF($L18=1,SUM($L$2:L18),"")</f>
        <v>9</v>
      </c>
      <c r="N18">
        <f t="shared" si="2"/>
        <v>1</v>
      </c>
      <c r="O18">
        <f>IF(AND($N18=1,'All Data'!$E18&lt;&gt;"",COUNTIFS($N$2:N17,1,'All Data'!$E$2:$E17,'All Data'!$E18)=0),1,0)</f>
        <v>0</v>
      </c>
      <c r="P18" t="str">
        <f>IF($O18=1,SUM($O$2:O18),"")</f>
        <v/>
      </c>
      <c r="Q18">
        <f t="shared" si="3"/>
        <v>1</v>
      </c>
      <c r="R18">
        <f>IF(AND($Q18=1,'All Data'!$F18&lt;&gt;"",COUNTIFS($Q$2:Q17,1,'All Data'!$F$2:$F17,'All Data'!$F18)=0),1,0)</f>
        <v>0</v>
      </c>
      <c r="S18" t="str">
        <f>IF($R18=1,SUM($R$2:R18),"")</f>
        <v/>
      </c>
      <c r="T18">
        <f t="shared" si="4"/>
        <v>1</v>
      </c>
      <c r="U18">
        <f>IF(AND($T18=1,'All Data'!$G18&lt;&gt;"",COUNTIFS($T$2:T17,1,'All Data'!$G$2:$G17,'All Data'!$G18)=0),1,0)</f>
        <v>0</v>
      </c>
      <c r="V18" t="str">
        <f>IF($U18=1,SUM($U$2:U18),"")</f>
        <v/>
      </c>
      <c r="W18">
        <f t="shared" si="5"/>
        <v>0</v>
      </c>
      <c r="X18" t="str">
        <f>IF($W18=1,SUM($W$2:W18),"")</f>
        <v/>
      </c>
      <c r="Z18" t="str">
        <f>IFERROR(INDEX('All Data'!$C$2:$C$419,MATCH(16,$J$2:$J$419,0))&amp;"","")</f>
        <v/>
      </c>
      <c r="AB18" t="str">
        <f>IFERROR(INDEX('All Data'!$D$2:$D$419,MATCH(16,$M$2:$M$419,0))&amp;"","")</f>
        <v>Fully filled cavity wall</v>
      </c>
      <c r="AD18" t="str">
        <f>IFERROR(INDEX('All Data'!$E$2:$E$419,MATCH(16,$P$2:$P$419,0))&amp;"","")</f>
        <v/>
      </c>
      <c r="AF18" t="str">
        <f>IFERROR(INDEX('All Data'!$F$2:$F$419,MATCH(16,$S$2:$S$419,0))&amp;"","")</f>
        <v/>
      </c>
      <c r="AH18" t="str">
        <f>IFERROR(INDEX('All Data'!$G$2:$G$419,MATCH(16,$V$2:$V$419,0))&amp;"","")</f>
        <v>2006</v>
      </c>
    </row>
    <row r="19" spans="1:34" x14ac:dyDescent="0.3">
      <c r="A19">
        <f>IF(OR($BA1="Any",$BA1=""),1,IF('All Data'!$B19=$BA1,1,0))</f>
        <v>1</v>
      </c>
      <c r="B19">
        <f>IF(OR($BA2="Any",$BA2=""),1,IF('All Data'!$C19=$BA2,1,0))</f>
        <v>1</v>
      </c>
      <c r="C19">
        <f>IF(OR($BA3="Any",$BA3=""),1,IF('All Data'!$D19=$BA3,1,0))</f>
        <v>1</v>
      </c>
      <c r="D19">
        <f>IF(OR($BA4="Any",$BA4=""),1,IF('All Data'!$E19=$BA4,1,0))</f>
        <v>1</v>
      </c>
      <c r="E19">
        <f>IF(OR($BA5="Any",$BA5=""),1,IF('All Data'!$F19=$BA5,1,0))</f>
        <v>1</v>
      </c>
      <c r="F19">
        <f>IF(OR($BA6="Any",$BA6=""),1,IF('All Data'!$G19=$BA6,1,0))</f>
        <v>0</v>
      </c>
      <c r="G19">
        <f>IF(AND(OR($BA$8="",ISNUMBER(SEARCH($BA$8,'All Data'!$K19&amp;" "&amp;'All Data'!$M19))),OR($BA$9="",ISNUMBER(SEARCH($BA$9,'All Data'!$K19&amp;" "&amp;'All Data'!$M19))),OR($BA$10="",ISNUMBER(SEARCH($BA$10,'All Data'!$K19&amp;" "&amp;'All Data'!$M19))),OR($BA$11="",ISNUMBER(SEARCH($BA$11,'All Data'!$K19&amp;" "&amp;'All Data'!$M19))),OR($BA$12="",ISNUMBER(SEARCH($BA$12,'All Data'!$K19&amp;" "&amp;'All Data'!$M19))),OR($BA$13="",ISNUMBER(SEARCH($BA$13,'All Data'!$K19&amp;" "&amp;'All Data'!$M19))),OR($BA$14="",ISNUMBER(SEARCH($BA$14,'All Data'!$K19&amp;" "&amp;'All Data'!$M19))),OR($BA$15="",ISNUMBER(SEARCH($BA$15,'All Data'!$K19&amp;" "&amp;'All Data'!$M19)))),1,0)</f>
        <v>1</v>
      </c>
      <c r="H19">
        <f t="shared" si="0"/>
        <v>1</v>
      </c>
      <c r="I19">
        <f>IF(AND($H19=1,'All Data'!$C19&lt;&gt;"",COUNTIFS($H$2:H18,1,'All Data'!$C$2:$C18,'All Data'!$C19)=0),1,0)</f>
        <v>0</v>
      </c>
      <c r="J19" t="str">
        <f>IF($I19=1,SUM($I$2:I19),"")</f>
        <v/>
      </c>
      <c r="K19">
        <f t="shared" si="1"/>
        <v>1</v>
      </c>
      <c r="L19">
        <f>IF(AND($K19=1,'All Data'!$D19&lt;&gt;"",COUNTIFS($K$2:K18,1,'All Data'!$D$2:$D18,'All Data'!$D19)=0),1,0)</f>
        <v>0</v>
      </c>
      <c r="M19" t="str">
        <f>IF($L19=1,SUM($L$2:L19),"")</f>
        <v/>
      </c>
      <c r="N19">
        <f t="shared" si="2"/>
        <v>1</v>
      </c>
      <c r="O19">
        <f>IF(AND($N19=1,'All Data'!$E19&lt;&gt;"",COUNTIFS($N$2:N18,1,'All Data'!$E$2:$E18,'All Data'!$E19)=0),1,0)</f>
        <v>0</v>
      </c>
      <c r="P19" t="str">
        <f>IF($O19=1,SUM($O$2:O19),"")</f>
        <v/>
      </c>
      <c r="Q19">
        <f t="shared" si="3"/>
        <v>1</v>
      </c>
      <c r="R19">
        <f>IF(AND($Q19=1,'All Data'!$F19&lt;&gt;"",COUNTIFS($Q$2:Q18,1,'All Data'!$F$2:$F18,'All Data'!$F19)=0),1,0)</f>
        <v>0</v>
      </c>
      <c r="S19" t="str">
        <f>IF($R19=1,SUM($R$2:R19),"")</f>
        <v/>
      </c>
      <c r="T19">
        <f t="shared" si="4"/>
        <v>1</v>
      </c>
      <c r="U19">
        <f>IF(AND($T19=1,'All Data'!$G19&lt;&gt;"",COUNTIFS($T$2:T18,1,'All Data'!$G$2:$G18,'All Data'!$G19)=0),1,0)</f>
        <v>0</v>
      </c>
      <c r="V19" t="str">
        <f>IF($U19=1,SUM($U$2:U19),"")</f>
        <v/>
      </c>
      <c r="W19">
        <f t="shared" si="5"/>
        <v>0</v>
      </c>
      <c r="X19" t="str">
        <f>IF($W19=1,SUM($W$2:W19),"")</f>
        <v/>
      </c>
      <c r="Z19" t="str">
        <f>IFERROR(INDEX('All Data'!$C$2:$C$419,MATCH(17,$J$2:$J$419,0))&amp;"","")</f>
        <v/>
      </c>
      <c r="AB19" t="str">
        <f>IFERROR(INDEX('All Data'!$D$2:$D$419,MATCH(17,$M$2:$M$419,0))&amp;"","")</f>
        <v>Cavity wall retro insulation</v>
      </c>
      <c r="AD19" t="str">
        <f>IFERROR(INDEX('All Data'!$E$2:$E$419,MATCH(17,$P$2:$P$419,0))&amp;"","")</f>
        <v/>
      </c>
      <c r="AF19" t="str">
        <f>IFERROR(INDEX('All Data'!$F$2:$F$419,MATCH(17,$S$2:$S$419,0))&amp;"","")</f>
        <v/>
      </c>
      <c r="AH19" t="str">
        <f>IFERROR(INDEX('All Data'!$G$2:$G$419,MATCH(17,$V$2:$V$419,0))&amp;"","")</f>
        <v>1975-1981</v>
      </c>
    </row>
    <row r="20" spans="1:34" x14ac:dyDescent="0.3">
      <c r="A20">
        <f>IF(OR($BA1="Any",$BA1=""),1,IF('All Data'!$B20=$BA1,1,0))</f>
        <v>1</v>
      </c>
      <c r="B20">
        <f>IF(OR($BA2="Any",$BA2=""),1,IF('All Data'!$C20=$BA2,1,0))</f>
        <v>1</v>
      </c>
      <c r="C20">
        <f>IF(OR($BA3="Any",$BA3=""),1,IF('All Data'!$D20=$BA3,1,0))</f>
        <v>1</v>
      </c>
      <c r="D20">
        <f>IF(OR($BA4="Any",$BA4=""),1,IF('All Data'!$E20=$BA4,1,0))</f>
        <v>1</v>
      </c>
      <c r="E20">
        <f>IF(OR($BA5="Any",$BA5=""),1,IF('All Data'!$F20=$BA5,1,0))</f>
        <v>1</v>
      </c>
      <c r="F20">
        <f>IF(OR($BA6="Any",$BA6=""),1,IF('All Data'!$G20=$BA6,1,0))</f>
        <v>0</v>
      </c>
      <c r="G20">
        <f>IF(AND(OR($BA$8="",ISNUMBER(SEARCH($BA$8,'All Data'!$K20&amp;" "&amp;'All Data'!$M20))),OR($BA$9="",ISNUMBER(SEARCH($BA$9,'All Data'!$K20&amp;" "&amp;'All Data'!$M20))),OR($BA$10="",ISNUMBER(SEARCH($BA$10,'All Data'!$K20&amp;" "&amp;'All Data'!$M20))),OR($BA$11="",ISNUMBER(SEARCH($BA$11,'All Data'!$K20&amp;" "&amp;'All Data'!$M20))),OR($BA$12="",ISNUMBER(SEARCH($BA$12,'All Data'!$K20&amp;" "&amp;'All Data'!$M20))),OR($BA$13="",ISNUMBER(SEARCH($BA$13,'All Data'!$K20&amp;" "&amp;'All Data'!$M20))),OR($BA$14="",ISNUMBER(SEARCH($BA$14,'All Data'!$K20&amp;" "&amp;'All Data'!$M20))),OR($BA$15="",ISNUMBER(SEARCH($BA$15,'All Data'!$K20&amp;" "&amp;'All Data'!$M20)))),1,0)</f>
        <v>1</v>
      </c>
      <c r="H20">
        <f t="shared" si="0"/>
        <v>1</v>
      </c>
      <c r="I20">
        <f>IF(AND($H20=1,'All Data'!$C20&lt;&gt;"",COUNTIFS($H$2:H19,1,'All Data'!$C$2:$C19,'All Data'!$C20)=0),1,0)</f>
        <v>0</v>
      </c>
      <c r="J20" t="str">
        <f>IF($I20=1,SUM($I$2:I20),"")</f>
        <v/>
      </c>
      <c r="K20">
        <f t="shared" si="1"/>
        <v>1</v>
      </c>
      <c r="L20">
        <f>IF(AND($K20=1,'All Data'!$D20&lt;&gt;"",COUNTIFS($K$2:K19,1,'All Data'!$D$2:$D19,'All Data'!$D20)=0),1,0)</f>
        <v>1</v>
      </c>
      <c r="M20">
        <f>IF($L20=1,SUM($L$2:L20),"")</f>
        <v>10</v>
      </c>
      <c r="N20">
        <f t="shared" si="2"/>
        <v>1</v>
      </c>
      <c r="O20">
        <f>IF(AND($N20=1,'All Data'!$E20&lt;&gt;"",COUNTIFS($N$2:N19,1,'All Data'!$E$2:$E19,'All Data'!$E20)=0),1,0)</f>
        <v>0</v>
      </c>
      <c r="P20" t="str">
        <f>IF($O20=1,SUM($O$2:O20),"")</f>
        <v/>
      </c>
      <c r="Q20">
        <f t="shared" si="3"/>
        <v>1</v>
      </c>
      <c r="R20">
        <f>IF(AND($Q20=1,'All Data'!$F20&lt;&gt;"",COUNTIFS($Q$2:Q19,1,'All Data'!$F$2:$F19,'All Data'!$F20)=0),1,0)</f>
        <v>0</v>
      </c>
      <c r="S20" t="str">
        <f>IF($R20=1,SUM($R$2:R20),"")</f>
        <v/>
      </c>
      <c r="T20">
        <f t="shared" si="4"/>
        <v>1</v>
      </c>
      <c r="U20">
        <f>IF(AND($T20=1,'All Data'!$G20&lt;&gt;"",COUNTIFS($T$2:T19,1,'All Data'!$G$2:$G19,'All Data'!$G20)=0),1,0)</f>
        <v>0</v>
      </c>
      <c r="V20" t="str">
        <f>IF($U20=1,SUM($U$2:U20),"")</f>
        <v/>
      </c>
      <c r="W20">
        <f t="shared" si="5"/>
        <v>0</v>
      </c>
      <c r="X20" t="str">
        <f>IF($W20=1,SUM($W$2:W20),"")</f>
        <v/>
      </c>
      <c r="Z20" t="str">
        <f>IFERROR(INDEX('All Data'!$C$2:$C$419,MATCH(18,$J$2:$J$419,0))&amp;"","")</f>
        <v/>
      </c>
      <c r="AB20" t="str">
        <f>IFERROR(INDEX('All Data'!$D$2:$D$419,MATCH(18,$M$2:$M$419,0))&amp;"","")</f>
        <v>Partially filled cavity wall</v>
      </c>
      <c r="AD20" t="str">
        <f>IFERROR(INDEX('All Data'!$E$2:$E$419,MATCH(18,$P$2:$P$419,0))&amp;"","")</f>
        <v/>
      </c>
      <c r="AF20" t="str">
        <f>IFERROR(INDEX('All Data'!$F$2:$F$419,MATCH(18,$S$2:$S$419,0))&amp;"","")</f>
        <v/>
      </c>
      <c r="AH20" t="str">
        <f>IFERROR(INDEX('All Data'!$G$2:$G$419,MATCH(18,$V$2:$V$419,0))&amp;"","")</f>
        <v>1982-1990</v>
      </c>
    </row>
    <row r="21" spans="1:34" x14ac:dyDescent="0.3">
      <c r="A21">
        <f>IF(OR($BA1="Any",$BA1=""),1,IF('All Data'!$B21=$BA1,1,0))</f>
        <v>1</v>
      </c>
      <c r="B21">
        <f>IF(OR($BA2="Any",$BA2=""),1,IF('All Data'!$C21=$BA2,1,0))</f>
        <v>1</v>
      </c>
      <c r="C21">
        <f>IF(OR($BA3="Any",$BA3=""),1,IF('All Data'!$D21=$BA3,1,0))</f>
        <v>1</v>
      </c>
      <c r="D21">
        <f>IF(OR($BA4="Any",$BA4=""),1,IF('All Data'!$E21=$BA4,1,0))</f>
        <v>1</v>
      </c>
      <c r="E21">
        <f>IF(OR($BA5="Any",$BA5=""),1,IF('All Data'!$F21=$BA5,1,0))</f>
        <v>1</v>
      </c>
      <c r="F21">
        <f>IF(OR($BA6="Any",$BA6=""),1,IF('All Data'!$G21=$BA6,1,0))</f>
        <v>0</v>
      </c>
      <c r="G21">
        <f>IF(AND(OR($BA$8="",ISNUMBER(SEARCH($BA$8,'All Data'!$K21&amp;" "&amp;'All Data'!$M21))),OR($BA$9="",ISNUMBER(SEARCH($BA$9,'All Data'!$K21&amp;" "&amp;'All Data'!$M21))),OR($BA$10="",ISNUMBER(SEARCH($BA$10,'All Data'!$K21&amp;" "&amp;'All Data'!$M21))),OR($BA$11="",ISNUMBER(SEARCH($BA$11,'All Data'!$K21&amp;" "&amp;'All Data'!$M21))),OR($BA$12="",ISNUMBER(SEARCH($BA$12,'All Data'!$K21&amp;" "&amp;'All Data'!$M21))),OR($BA$13="",ISNUMBER(SEARCH($BA$13,'All Data'!$K21&amp;" "&amp;'All Data'!$M21))),OR($BA$14="",ISNUMBER(SEARCH($BA$14,'All Data'!$K21&amp;" "&amp;'All Data'!$M21))),OR($BA$15="",ISNUMBER(SEARCH($BA$15,'All Data'!$K21&amp;" "&amp;'All Data'!$M21)))),1,0)</f>
        <v>1</v>
      </c>
      <c r="H21">
        <f t="shared" si="0"/>
        <v>1</v>
      </c>
      <c r="I21">
        <f>IF(AND($H21=1,'All Data'!$C21&lt;&gt;"",COUNTIFS($H$2:H20,1,'All Data'!$C$2:$C20,'All Data'!$C21)=0),1,0)</f>
        <v>0</v>
      </c>
      <c r="J21" t="str">
        <f>IF($I21=1,SUM($I$2:I21),"")</f>
        <v/>
      </c>
      <c r="K21">
        <f t="shared" si="1"/>
        <v>1</v>
      </c>
      <c r="L21">
        <f>IF(AND($K21=1,'All Data'!$D21&lt;&gt;"",COUNTIFS($K$2:K20,1,'All Data'!$D$2:$D20,'All Data'!$D21)=0),1,0)</f>
        <v>1</v>
      </c>
      <c r="M21">
        <f>IF($L21=1,SUM($L$2:L21),"")</f>
        <v>11</v>
      </c>
      <c r="N21">
        <f t="shared" si="2"/>
        <v>1</v>
      </c>
      <c r="O21">
        <f>IF(AND($N21=1,'All Data'!$E21&lt;&gt;"",COUNTIFS($N$2:N20,1,'All Data'!$E$2:$E20,'All Data'!$E21)=0),1,0)</f>
        <v>0</v>
      </c>
      <c r="P21" t="str">
        <f>IF($O21=1,SUM($O$2:O21),"")</f>
        <v/>
      </c>
      <c r="Q21">
        <f t="shared" si="3"/>
        <v>1</v>
      </c>
      <c r="R21">
        <f>IF(AND($Q21=1,'All Data'!$F21&lt;&gt;"",COUNTIFS($Q$2:Q20,1,'All Data'!$F$2:$F20,'All Data'!$F21)=0),1,0)</f>
        <v>0</v>
      </c>
      <c r="S21" t="str">
        <f>IF($R21=1,SUM($R$2:R21),"")</f>
        <v/>
      </c>
      <c r="T21">
        <f t="shared" si="4"/>
        <v>1</v>
      </c>
      <c r="U21">
        <f>IF(AND($T21=1,'All Data'!$G21&lt;&gt;"",COUNTIFS($T$2:T20,1,'All Data'!$G$2:$G20,'All Data'!$G21)=0),1,0)</f>
        <v>0</v>
      </c>
      <c r="V21" t="str">
        <f>IF($U21=1,SUM($U$2:U21),"")</f>
        <v/>
      </c>
      <c r="W21">
        <f t="shared" si="5"/>
        <v>0</v>
      </c>
      <c r="X21" t="str">
        <f>IF($W21=1,SUM($W$2:W21),"")</f>
        <v/>
      </c>
      <c r="Z21" t="str">
        <f>IFERROR(INDEX('All Data'!$C$2:$C$419,MATCH(19,$J$2:$J$419,0))&amp;"","")</f>
        <v/>
      </c>
      <c r="AB21" t="str">
        <f>IFERROR(INDEX('All Data'!$D$2:$D$419,MATCH(19,$M$2:$M$419,0))&amp;"","")</f>
        <v>Semi-exposed wall</v>
      </c>
      <c r="AD21" t="str">
        <f>IFERROR(INDEX('All Data'!$E$2:$E$419,MATCH(19,$P$2:$P$419,0))&amp;"","")</f>
        <v/>
      </c>
      <c r="AF21" t="str">
        <f>IFERROR(INDEX('All Data'!$F$2:$F$419,MATCH(19,$S$2:$S$419,0))&amp;"","")</f>
        <v/>
      </c>
      <c r="AH21" t="str">
        <f>IFERROR(INDEX('All Data'!$G$2:$G$419,MATCH(19,$V$2:$V$419,0))&amp;"","")</f>
        <v>1991-1996</v>
      </c>
    </row>
    <row r="22" spans="1:34" x14ac:dyDescent="0.3">
      <c r="A22">
        <f>IF(OR($BA1="Any",$BA1=""),1,IF('All Data'!$B22=$BA1,1,0))</f>
        <v>1</v>
      </c>
      <c r="B22">
        <f>IF(OR($BA2="Any",$BA2=""),1,IF('All Data'!$C22=$BA2,1,0))</f>
        <v>1</v>
      </c>
      <c r="C22">
        <f>IF(OR($BA3="Any",$BA3=""),1,IF('All Data'!$D22=$BA3,1,0))</f>
        <v>1</v>
      </c>
      <c r="D22">
        <f>IF(OR($BA4="Any",$BA4=""),1,IF('All Data'!$E22=$BA4,1,0))</f>
        <v>1</v>
      </c>
      <c r="E22">
        <f>IF(OR($BA5="Any",$BA5=""),1,IF('All Data'!$F22=$BA5,1,0))</f>
        <v>1</v>
      </c>
      <c r="F22">
        <f>IF(OR($BA6="Any",$BA6=""),1,IF('All Data'!$G22=$BA6,1,0))</f>
        <v>0</v>
      </c>
      <c r="G22">
        <f>IF(AND(OR($BA$8="",ISNUMBER(SEARCH($BA$8,'All Data'!$K22&amp;" "&amp;'All Data'!$M22))),OR($BA$9="",ISNUMBER(SEARCH($BA$9,'All Data'!$K22&amp;" "&amp;'All Data'!$M22))),OR($BA$10="",ISNUMBER(SEARCH($BA$10,'All Data'!$K22&amp;" "&amp;'All Data'!$M22))),OR($BA$11="",ISNUMBER(SEARCH($BA$11,'All Data'!$K22&amp;" "&amp;'All Data'!$M22))),OR($BA$12="",ISNUMBER(SEARCH($BA$12,'All Data'!$K22&amp;" "&amp;'All Data'!$M22))),OR($BA$13="",ISNUMBER(SEARCH($BA$13,'All Data'!$K22&amp;" "&amp;'All Data'!$M22))),OR($BA$14="",ISNUMBER(SEARCH($BA$14,'All Data'!$K22&amp;" "&amp;'All Data'!$M22))),OR($BA$15="",ISNUMBER(SEARCH($BA$15,'All Data'!$K22&amp;" "&amp;'All Data'!$M22)))),1,0)</f>
        <v>1</v>
      </c>
      <c r="H22">
        <f t="shared" si="0"/>
        <v>1</v>
      </c>
      <c r="I22">
        <f>IF(AND($H22=1,'All Data'!$C22&lt;&gt;"",COUNTIFS($H$2:H21,1,'All Data'!$C$2:$C21,'All Data'!$C22)=0),1,0)</f>
        <v>0</v>
      </c>
      <c r="J22" t="str">
        <f>IF($I22=1,SUM($I$2:I22),"")</f>
        <v/>
      </c>
      <c r="K22">
        <f t="shared" si="1"/>
        <v>1</v>
      </c>
      <c r="L22">
        <f>IF(AND($K22=1,'All Data'!$D22&lt;&gt;"",COUNTIFS($K$2:K21,1,'All Data'!$D$2:$D21,'All Data'!$D22)=0),1,0)</f>
        <v>0</v>
      </c>
      <c r="M22" t="str">
        <f>IF($L22=1,SUM($L$2:L22),"")</f>
        <v/>
      </c>
      <c r="N22">
        <f t="shared" si="2"/>
        <v>1</v>
      </c>
      <c r="O22">
        <f>IF(AND($N22=1,'All Data'!$E22&lt;&gt;"",COUNTIFS($N$2:N21,1,'All Data'!$E$2:$E21,'All Data'!$E22)=0),1,0)</f>
        <v>0</v>
      </c>
      <c r="P22" t="str">
        <f>IF($O22=1,SUM($O$2:O22),"")</f>
        <v/>
      </c>
      <c r="Q22">
        <f t="shared" si="3"/>
        <v>1</v>
      </c>
      <c r="R22">
        <f>IF(AND($Q22=1,'All Data'!$F22&lt;&gt;"",COUNTIFS($Q$2:Q21,1,'All Data'!$F$2:$F21,'All Data'!$F22)=0),1,0)</f>
        <v>0</v>
      </c>
      <c r="S22" t="str">
        <f>IF($R22=1,SUM($R$2:R22),"")</f>
        <v/>
      </c>
      <c r="T22">
        <f t="shared" si="4"/>
        <v>1</v>
      </c>
      <c r="U22">
        <f>IF(AND($T22=1,'All Data'!$G22&lt;&gt;"",COUNTIFS($T$2:T21,1,'All Data'!$G$2:$G21,'All Data'!$G22)=0),1,0)</f>
        <v>0</v>
      </c>
      <c r="V22" t="str">
        <f>IF($U22=1,SUM($U$2:U22),"")</f>
        <v/>
      </c>
      <c r="W22">
        <f t="shared" si="5"/>
        <v>0</v>
      </c>
      <c r="X22" t="str">
        <f>IF($W22=1,SUM($W$2:W22),"")</f>
        <v/>
      </c>
      <c r="Z22" t="str">
        <f>IFERROR(INDEX('All Data'!$C$2:$C$419,MATCH(20,$J$2:$J$419,0))&amp;"","")</f>
        <v/>
      </c>
      <c r="AB22" t="str">
        <f>IFERROR(INDEX('All Data'!$D$2:$D$419,MATCH(20,$M$2:$M$419,0))&amp;"","")</f>
        <v>Steel wall</v>
      </c>
      <c r="AD22" t="str">
        <f>IFERROR(INDEX('All Data'!$E$2:$E$419,MATCH(20,$P$2:$P$419,0))&amp;"","")</f>
        <v/>
      </c>
      <c r="AF22" t="str">
        <f>IFERROR(INDEX('All Data'!$F$2:$F$419,MATCH(20,$S$2:$S$419,0))&amp;"","")</f>
        <v/>
      </c>
      <c r="AH22" t="str">
        <f>IFERROR(INDEX('All Data'!$G$2:$G$419,MATCH(20,$V$2:$V$419,0))&amp;"","")</f>
        <v>1997-2001</v>
      </c>
    </row>
    <row r="23" spans="1:34" x14ac:dyDescent="0.3">
      <c r="A23">
        <f>IF(OR($BA1="Any",$BA1=""),1,IF('All Data'!$B23=$BA1,1,0))</f>
        <v>1</v>
      </c>
      <c r="B23">
        <f>IF(OR($BA2="Any",$BA2=""),1,IF('All Data'!$C23=$BA2,1,0))</f>
        <v>1</v>
      </c>
      <c r="C23">
        <f>IF(OR($BA3="Any",$BA3=""),1,IF('All Data'!$D23=$BA3,1,0))</f>
        <v>1</v>
      </c>
      <c r="D23">
        <f>IF(OR($BA4="Any",$BA4=""),1,IF('All Data'!$E23=$BA4,1,0))</f>
        <v>1</v>
      </c>
      <c r="E23">
        <f>IF(OR($BA5="Any",$BA5=""),1,IF('All Data'!$F23=$BA5,1,0))</f>
        <v>1</v>
      </c>
      <c r="F23">
        <f>IF(OR($BA6="Any",$BA6=""),1,IF('All Data'!$G23=$BA6,1,0))</f>
        <v>0</v>
      </c>
      <c r="G23">
        <f>IF(AND(OR($BA$8="",ISNUMBER(SEARCH($BA$8,'All Data'!$K23&amp;" "&amp;'All Data'!$M23))),OR($BA$9="",ISNUMBER(SEARCH($BA$9,'All Data'!$K23&amp;" "&amp;'All Data'!$M23))),OR($BA$10="",ISNUMBER(SEARCH($BA$10,'All Data'!$K23&amp;" "&amp;'All Data'!$M23))),OR($BA$11="",ISNUMBER(SEARCH($BA$11,'All Data'!$K23&amp;" "&amp;'All Data'!$M23))),OR($BA$12="",ISNUMBER(SEARCH($BA$12,'All Data'!$K23&amp;" "&amp;'All Data'!$M23))),OR($BA$13="",ISNUMBER(SEARCH($BA$13,'All Data'!$K23&amp;" "&amp;'All Data'!$M23))),OR($BA$14="",ISNUMBER(SEARCH($BA$14,'All Data'!$K23&amp;" "&amp;'All Data'!$M23))),OR($BA$15="",ISNUMBER(SEARCH($BA$15,'All Data'!$K23&amp;" "&amp;'All Data'!$M23)))),1,0)</f>
        <v>1</v>
      </c>
      <c r="H23">
        <f t="shared" si="0"/>
        <v>1</v>
      </c>
      <c r="I23">
        <f>IF(AND($H23=1,'All Data'!$C23&lt;&gt;"",COUNTIFS($H$2:H22,1,'All Data'!$C$2:$C22,'All Data'!$C23)=0),1,0)</f>
        <v>0</v>
      </c>
      <c r="J23" t="str">
        <f>IF($I23=1,SUM($I$2:I23),"")</f>
        <v/>
      </c>
      <c r="K23">
        <f t="shared" si="1"/>
        <v>1</v>
      </c>
      <c r="L23">
        <f>IF(AND($K23=1,'All Data'!$D23&lt;&gt;"",COUNTIFS($K$2:K22,1,'All Data'!$D$2:$D22,'All Data'!$D23)=0),1,0)</f>
        <v>0</v>
      </c>
      <c r="M23" t="str">
        <f>IF($L23=1,SUM($L$2:L23),"")</f>
        <v/>
      </c>
      <c r="N23">
        <f t="shared" si="2"/>
        <v>1</v>
      </c>
      <c r="O23">
        <f>IF(AND($N23=1,'All Data'!$E23&lt;&gt;"",COUNTIFS($N$2:N22,1,'All Data'!$E$2:$E22,'All Data'!$E23)=0),1,0)</f>
        <v>0</v>
      </c>
      <c r="P23" t="str">
        <f>IF($O23=1,SUM($O$2:O23),"")</f>
        <v/>
      </c>
      <c r="Q23">
        <f t="shared" si="3"/>
        <v>1</v>
      </c>
      <c r="R23">
        <f>IF(AND($Q23=1,'All Data'!$F23&lt;&gt;"",COUNTIFS($Q$2:Q22,1,'All Data'!$F$2:$F22,'All Data'!$F23)=0),1,0)</f>
        <v>0</v>
      </c>
      <c r="S23" t="str">
        <f>IF($R23=1,SUM($R$2:R23),"")</f>
        <v/>
      </c>
      <c r="T23">
        <f t="shared" si="4"/>
        <v>1</v>
      </c>
      <c r="U23">
        <f>IF(AND($T23=1,'All Data'!$G23&lt;&gt;"",COUNTIFS($T$2:T22,1,'All Data'!$G$2:$G22,'All Data'!$G23)=0),1,0)</f>
        <v>0</v>
      </c>
      <c r="V23" t="str">
        <f>IF($U23=1,SUM($U$2:U23),"")</f>
        <v/>
      </c>
      <c r="W23">
        <f t="shared" si="5"/>
        <v>0</v>
      </c>
      <c r="X23" t="str">
        <f>IF($W23=1,SUM($W$2:W23),"")</f>
        <v/>
      </c>
      <c r="Z23" t="str">
        <f>IFERROR(INDEX('All Data'!$C$2:$C$419,MATCH(21,$J$2:$J$419,0))&amp;"","")</f>
        <v/>
      </c>
      <c r="AB23" t="str">
        <f>IFERROR(INDEX('All Data'!$D$2:$D$419,MATCH(21,$M$2:$M$419,0))&amp;"","")</f>
        <v>Metal cladding plus internal block</v>
      </c>
      <c r="AD23" t="str">
        <f>IFERROR(INDEX('All Data'!$E$2:$E$419,MATCH(21,$P$2:$P$419,0))&amp;"","")</f>
        <v/>
      </c>
      <c r="AF23" t="str">
        <f>IFERROR(INDEX('All Data'!$F$2:$F$419,MATCH(21,$S$2:$S$419,0))&amp;"","")</f>
        <v/>
      </c>
      <c r="AH23" t="str">
        <f>IFERROR(INDEX('All Data'!$G$2:$G$419,MATCH(21,$V$2:$V$419,0))&amp;"","")</f>
        <v>2007</v>
      </c>
    </row>
    <row r="24" spans="1:34" x14ac:dyDescent="0.3">
      <c r="A24">
        <f>IF(OR($BA1="Any",$BA1=""),1,IF('All Data'!$B24=$BA1,1,0))</f>
        <v>1</v>
      </c>
      <c r="B24">
        <f>IF(OR($BA2="Any",$BA2=""),1,IF('All Data'!$C24=$BA2,1,0))</f>
        <v>1</v>
      </c>
      <c r="C24">
        <f>IF(OR($BA3="Any",$BA3=""),1,IF('All Data'!$D24=$BA3,1,0))</f>
        <v>1</v>
      </c>
      <c r="D24">
        <f>IF(OR($BA4="Any",$BA4=""),1,IF('All Data'!$E24=$BA4,1,0))</f>
        <v>1</v>
      </c>
      <c r="E24">
        <f>IF(OR($BA5="Any",$BA5=""),1,IF('All Data'!$F24=$BA5,1,0))</f>
        <v>1</v>
      </c>
      <c r="F24">
        <f>IF(OR($BA6="Any",$BA6=""),1,IF('All Data'!$G24=$BA6,1,0))</f>
        <v>0</v>
      </c>
      <c r="G24">
        <f>IF(AND(OR($BA$8="",ISNUMBER(SEARCH($BA$8,'All Data'!$K24&amp;" "&amp;'All Data'!$M24))),OR($BA$9="",ISNUMBER(SEARCH($BA$9,'All Data'!$K24&amp;" "&amp;'All Data'!$M24))),OR($BA$10="",ISNUMBER(SEARCH($BA$10,'All Data'!$K24&amp;" "&amp;'All Data'!$M24))),OR($BA$11="",ISNUMBER(SEARCH($BA$11,'All Data'!$K24&amp;" "&amp;'All Data'!$M24))),OR($BA$12="",ISNUMBER(SEARCH($BA$12,'All Data'!$K24&amp;" "&amp;'All Data'!$M24))),OR($BA$13="",ISNUMBER(SEARCH($BA$13,'All Data'!$K24&amp;" "&amp;'All Data'!$M24))),OR($BA$14="",ISNUMBER(SEARCH($BA$14,'All Data'!$K24&amp;" "&amp;'All Data'!$M24))),OR($BA$15="",ISNUMBER(SEARCH($BA$15,'All Data'!$K24&amp;" "&amp;'All Data'!$M24)))),1,0)</f>
        <v>1</v>
      </c>
      <c r="H24">
        <f t="shared" si="0"/>
        <v>1</v>
      </c>
      <c r="I24">
        <f>IF(AND($H24=1,'All Data'!$C24&lt;&gt;"",COUNTIFS($H$2:H23,1,'All Data'!$C$2:$C23,'All Data'!$C24)=0),1,0)</f>
        <v>0</v>
      </c>
      <c r="J24" t="str">
        <f>IF($I24=1,SUM($I$2:I24),"")</f>
        <v/>
      </c>
      <c r="K24">
        <f t="shared" si="1"/>
        <v>1</v>
      </c>
      <c r="L24">
        <f>IF(AND($K24=1,'All Data'!$D24&lt;&gt;"",COUNTIFS($K$2:K23,1,'All Data'!$D$2:$D23,'All Data'!$D24)=0),1,0)</f>
        <v>1</v>
      </c>
      <c r="M24">
        <f>IF($L24=1,SUM($L$2:L24),"")</f>
        <v>12</v>
      </c>
      <c r="N24">
        <f t="shared" si="2"/>
        <v>1</v>
      </c>
      <c r="O24">
        <f>IF(AND($N24=1,'All Data'!$E24&lt;&gt;"",COUNTIFS($N$2:N23,1,'All Data'!$E$2:$E23,'All Data'!$E24)=0),1,0)</f>
        <v>0</v>
      </c>
      <c r="P24" t="str">
        <f>IF($O24=1,SUM($O$2:O24),"")</f>
        <v/>
      </c>
      <c r="Q24">
        <f t="shared" si="3"/>
        <v>1</v>
      </c>
      <c r="R24">
        <f>IF(AND($Q24=1,'All Data'!$F24&lt;&gt;"",COUNTIFS($Q$2:Q23,1,'All Data'!$F$2:$F23,'All Data'!$F24)=0),1,0)</f>
        <v>0</v>
      </c>
      <c r="S24" t="str">
        <f>IF($R24=1,SUM($R$2:R24),"")</f>
        <v/>
      </c>
      <c r="T24">
        <f t="shared" si="4"/>
        <v>1</v>
      </c>
      <c r="U24">
        <f>IF(AND($T24=1,'All Data'!$G24&lt;&gt;"",COUNTIFS($T$2:T23,1,'All Data'!$G$2:$G23,'All Data'!$G24)=0),1,0)</f>
        <v>0</v>
      </c>
      <c r="V24" t="str">
        <f>IF($U24=1,SUM($U$2:U24),"")</f>
        <v/>
      </c>
      <c r="W24">
        <f t="shared" si="5"/>
        <v>0</v>
      </c>
      <c r="X24" t="str">
        <f>IF($W24=1,SUM($W$2:W24),"")</f>
        <v/>
      </c>
      <c r="Z24" t="str">
        <f>IFERROR(INDEX('All Data'!$C$2:$C$419,MATCH(22,$J$2:$J$419,0))&amp;"","")</f>
        <v/>
      </c>
      <c r="AB24" t="str">
        <f>IFERROR(INDEX('All Data'!$D$2:$D$419,MATCH(22,$M$2:$M$419,0))&amp;"","")</f>
        <v>Metal cladding wall</v>
      </c>
      <c r="AD24" t="str">
        <f>IFERROR(INDEX('All Data'!$E$2:$E$419,MATCH(22,$P$2:$P$419,0))&amp;"","")</f>
        <v/>
      </c>
      <c r="AF24" t="str">
        <f>IFERROR(INDEX('All Data'!$F$2:$F$419,MATCH(22,$S$2:$S$419,0))&amp;"","")</f>
        <v/>
      </c>
      <c r="AH24" t="str">
        <f>IFERROR(INDEX('All Data'!$G$2:$G$419,MATCH(22,$V$2:$V$419,0))&amp;"","")</f>
        <v>Pre-1974</v>
      </c>
    </row>
    <row r="25" spans="1:34" x14ac:dyDescent="0.3">
      <c r="A25">
        <f>IF(OR($BA1="Any",$BA1=""),1,IF('All Data'!$B25=$BA1,1,0))</f>
        <v>1</v>
      </c>
      <c r="B25">
        <f>IF(OR($BA2="Any",$BA2=""),1,IF('All Data'!$C25=$BA2,1,0))</f>
        <v>1</v>
      </c>
      <c r="C25">
        <f>IF(OR($BA3="Any",$BA3=""),1,IF('All Data'!$D25=$BA3,1,0))</f>
        <v>1</v>
      </c>
      <c r="D25">
        <f>IF(OR($BA4="Any",$BA4=""),1,IF('All Data'!$E25=$BA4,1,0))</f>
        <v>1</v>
      </c>
      <c r="E25">
        <f>IF(OR($BA5="Any",$BA5=""),1,IF('All Data'!$F25=$BA5,1,0))</f>
        <v>1</v>
      </c>
      <c r="F25">
        <f>IF(OR($BA6="Any",$BA6=""),1,IF('All Data'!$G25=$BA6,1,0))</f>
        <v>0</v>
      </c>
      <c r="G25">
        <f>IF(AND(OR($BA$8="",ISNUMBER(SEARCH($BA$8,'All Data'!$K25&amp;" "&amp;'All Data'!$M25))),OR($BA$9="",ISNUMBER(SEARCH($BA$9,'All Data'!$K25&amp;" "&amp;'All Data'!$M25))),OR($BA$10="",ISNUMBER(SEARCH($BA$10,'All Data'!$K25&amp;" "&amp;'All Data'!$M25))),OR($BA$11="",ISNUMBER(SEARCH($BA$11,'All Data'!$K25&amp;" "&amp;'All Data'!$M25))),OR($BA$12="",ISNUMBER(SEARCH($BA$12,'All Data'!$K25&amp;" "&amp;'All Data'!$M25))),OR($BA$13="",ISNUMBER(SEARCH($BA$13,'All Data'!$K25&amp;" "&amp;'All Data'!$M25))),OR($BA$14="",ISNUMBER(SEARCH($BA$14,'All Data'!$K25&amp;" "&amp;'All Data'!$M25))),OR($BA$15="",ISNUMBER(SEARCH($BA$15,'All Data'!$K25&amp;" "&amp;'All Data'!$M25)))),1,0)</f>
        <v>1</v>
      </c>
      <c r="H25">
        <f t="shared" si="0"/>
        <v>1</v>
      </c>
      <c r="I25">
        <f>IF(AND($H25=1,'All Data'!$C25&lt;&gt;"",COUNTIFS($H$2:H24,1,'All Data'!$C$2:$C24,'All Data'!$C25)=0),1,0)</f>
        <v>0</v>
      </c>
      <c r="J25" t="str">
        <f>IF($I25=1,SUM($I$2:I25),"")</f>
        <v/>
      </c>
      <c r="K25">
        <f t="shared" si="1"/>
        <v>1</v>
      </c>
      <c r="L25">
        <f>IF(AND($K25=1,'All Data'!$D25&lt;&gt;"",COUNTIFS($K$2:K24,1,'All Data'!$D$2:$D24,'All Data'!$D25)=0),1,0)</f>
        <v>0</v>
      </c>
      <c r="M25" t="str">
        <f>IF($L25=1,SUM($L$2:L25),"")</f>
        <v/>
      </c>
      <c r="N25">
        <f t="shared" si="2"/>
        <v>1</v>
      </c>
      <c r="O25">
        <f>IF(AND($N25=1,'All Data'!$E25&lt;&gt;"",COUNTIFS($N$2:N24,1,'All Data'!$E$2:$E24,'All Data'!$E25)=0),1,0)</f>
        <v>0</v>
      </c>
      <c r="P25" t="str">
        <f>IF($O25=1,SUM($O$2:O25),"")</f>
        <v/>
      </c>
      <c r="Q25">
        <f t="shared" si="3"/>
        <v>1</v>
      </c>
      <c r="R25">
        <f>IF(AND($Q25=1,'All Data'!$F25&lt;&gt;"",COUNTIFS($Q$2:Q24,1,'All Data'!$F$2:$F24,'All Data'!$F25)=0),1,0)</f>
        <v>0</v>
      </c>
      <c r="S25" t="str">
        <f>IF($R25=1,SUM($R$2:R25),"")</f>
        <v/>
      </c>
      <c r="T25">
        <f t="shared" si="4"/>
        <v>1</v>
      </c>
      <c r="U25">
        <f>IF(AND($T25=1,'All Data'!$G25&lt;&gt;"",COUNTIFS($T$2:T24,1,'All Data'!$G$2:$G24,'All Data'!$G25)=0),1,0)</f>
        <v>0</v>
      </c>
      <c r="V25" t="str">
        <f>IF($U25=1,SUM($U$2:U25),"")</f>
        <v/>
      </c>
      <c r="W25">
        <f t="shared" si="5"/>
        <v>0</v>
      </c>
      <c r="X25" t="str">
        <f>IF($W25=1,SUM($W$2:W25),"")</f>
        <v/>
      </c>
      <c r="Z25" t="str">
        <f>IFERROR(INDEX('All Data'!$C$2:$C$419,MATCH(23,$J$2:$J$419,0))&amp;"","")</f>
        <v/>
      </c>
      <c r="AB25" t="str">
        <f>IFERROR(INDEX('All Data'!$D$2:$D$419,MATCH(23,$M$2:$M$419,0))&amp;"","")</f>
        <v>Metal sheet wall</v>
      </c>
      <c r="AD25" t="str">
        <f>IFERROR(INDEX('All Data'!$E$2:$E$419,MATCH(23,$P$2:$P$419,0))&amp;"","")</f>
        <v/>
      </c>
      <c r="AF25" t="str">
        <f>IFERROR(INDEX('All Data'!$F$2:$F$419,MATCH(23,$S$2:$S$419,0))&amp;"","")</f>
        <v/>
      </c>
      <c r="AH25" t="str">
        <f>IFERROR(INDEX('All Data'!$G$2:$G$419,MATCH(23,$V$2:$V$419,0))&amp;"","")</f>
        <v>1977 or earlier</v>
      </c>
    </row>
    <row r="26" spans="1:34" x14ac:dyDescent="0.3">
      <c r="A26">
        <f>IF(OR($BA1="Any",$BA1=""),1,IF('All Data'!$B26=$BA1,1,0))</f>
        <v>1</v>
      </c>
      <c r="B26">
        <f>IF(OR($BA2="Any",$BA2=""),1,IF('All Data'!$C26=$BA2,1,0))</f>
        <v>1</v>
      </c>
      <c r="C26">
        <f>IF(OR($BA3="Any",$BA3=""),1,IF('All Data'!$D26=$BA3,1,0))</f>
        <v>1</v>
      </c>
      <c r="D26">
        <f>IF(OR($BA4="Any",$BA4=""),1,IF('All Data'!$E26=$BA4,1,0))</f>
        <v>1</v>
      </c>
      <c r="E26">
        <f>IF(OR($BA5="Any",$BA5=""),1,IF('All Data'!$F26=$BA5,1,0))</f>
        <v>1</v>
      </c>
      <c r="F26">
        <f>IF(OR($BA6="Any",$BA6=""),1,IF('All Data'!$G26=$BA6,1,0))</f>
        <v>0</v>
      </c>
      <c r="G26">
        <f>IF(AND(OR($BA$8="",ISNUMBER(SEARCH($BA$8,'All Data'!$K26&amp;" "&amp;'All Data'!$M26))),OR($BA$9="",ISNUMBER(SEARCH($BA$9,'All Data'!$K26&amp;" "&amp;'All Data'!$M26))),OR($BA$10="",ISNUMBER(SEARCH($BA$10,'All Data'!$K26&amp;" "&amp;'All Data'!$M26))),OR($BA$11="",ISNUMBER(SEARCH($BA$11,'All Data'!$K26&amp;" "&amp;'All Data'!$M26))),OR($BA$12="",ISNUMBER(SEARCH($BA$12,'All Data'!$K26&amp;" "&amp;'All Data'!$M26))),OR($BA$13="",ISNUMBER(SEARCH($BA$13,'All Data'!$K26&amp;" "&amp;'All Data'!$M26))),OR($BA$14="",ISNUMBER(SEARCH($BA$14,'All Data'!$K26&amp;" "&amp;'All Data'!$M26))),OR($BA$15="",ISNUMBER(SEARCH($BA$15,'All Data'!$K26&amp;" "&amp;'All Data'!$M26)))),1,0)</f>
        <v>1</v>
      </c>
      <c r="H26">
        <f t="shared" si="0"/>
        <v>1</v>
      </c>
      <c r="I26">
        <f>IF(AND($H26=1,'All Data'!$C26&lt;&gt;"",COUNTIFS($H$2:H25,1,'All Data'!$C$2:$C25,'All Data'!$C26)=0),1,0)</f>
        <v>0</v>
      </c>
      <c r="J26" t="str">
        <f>IF($I26=1,SUM($I$2:I26),"")</f>
        <v/>
      </c>
      <c r="K26">
        <f t="shared" si="1"/>
        <v>1</v>
      </c>
      <c r="L26">
        <f>IF(AND($K26=1,'All Data'!$D26&lt;&gt;"",COUNTIFS($K$2:K25,1,'All Data'!$D$2:$D25,'All Data'!$D26)=0),1,0)</f>
        <v>0</v>
      </c>
      <c r="M26" t="str">
        <f>IF($L26=1,SUM($L$2:L26),"")</f>
        <v/>
      </c>
      <c r="N26">
        <f t="shared" si="2"/>
        <v>1</v>
      </c>
      <c r="O26">
        <f>IF(AND($N26=1,'All Data'!$E26&lt;&gt;"",COUNTIFS($N$2:N25,1,'All Data'!$E$2:$E25,'All Data'!$E26)=0),1,0)</f>
        <v>0</v>
      </c>
      <c r="P26" t="str">
        <f>IF($O26=1,SUM($O$2:O26),"")</f>
        <v/>
      </c>
      <c r="Q26">
        <f t="shared" si="3"/>
        <v>1</v>
      </c>
      <c r="R26">
        <f>IF(AND($Q26=1,'All Data'!$F26&lt;&gt;"",COUNTIFS($Q$2:Q25,1,'All Data'!$F$2:$F25,'All Data'!$F26)=0),1,0)</f>
        <v>0</v>
      </c>
      <c r="S26" t="str">
        <f>IF($R26=1,SUM($R$2:R26),"")</f>
        <v/>
      </c>
      <c r="T26">
        <f t="shared" si="4"/>
        <v>1</v>
      </c>
      <c r="U26">
        <f>IF(AND($T26=1,'All Data'!$G26&lt;&gt;"",COUNTIFS($T$2:T25,1,'All Data'!$G$2:$G25,'All Data'!$G26)=0),1,0)</f>
        <v>0</v>
      </c>
      <c r="V26" t="str">
        <f>IF($U26=1,SUM($U$2:U26),"")</f>
        <v/>
      </c>
      <c r="W26">
        <f t="shared" si="5"/>
        <v>0</v>
      </c>
      <c r="X26" t="str">
        <f>IF($W26=1,SUM($W$2:W26),"")</f>
        <v/>
      </c>
      <c r="Z26" t="str">
        <f>IFERROR(INDEX('All Data'!$C$2:$C$419,MATCH(24,$J$2:$J$419,0))&amp;"","")</f>
        <v/>
      </c>
      <c r="AB26" t="str">
        <f>IFERROR(INDEX('All Data'!$D$2:$D$419,MATCH(24,$M$2:$M$419,0))&amp;"","")</f>
        <v>Log cabin wall</v>
      </c>
      <c r="AD26" t="str">
        <f>IFERROR(INDEX('All Data'!$E$2:$E$419,MATCH(24,$P$2:$P$419,0))&amp;"","")</f>
        <v/>
      </c>
      <c r="AF26" t="str">
        <f>IFERROR(INDEX('All Data'!$F$2:$F$419,MATCH(24,$S$2:$S$419,0))&amp;"","")</f>
        <v/>
      </c>
      <c r="AH26" t="str">
        <f>IFERROR(INDEX('All Data'!$G$2:$G$419,MATCH(24,$V$2:$V$419,0))&amp;"","")</f>
        <v>1978-1983</v>
      </c>
    </row>
    <row r="27" spans="1:34" x14ac:dyDescent="0.3">
      <c r="A27">
        <f>IF(OR($BA1="Any",$BA1=""),1,IF('All Data'!$B27=$BA1,1,0))</f>
        <v>1</v>
      </c>
      <c r="B27">
        <f>IF(OR($BA2="Any",$BA2=""),1,IF('All Data'!$C27=$BA2,1,0))</f>
        <v>1</v>
      </c>
      <c r="C27">
        <f>IF(OR($BA3="Any",$BA3=""),1,IF('All Data'!$D27=$BA3,1,0))</f>
        <v>1</v>
      </c>
      <c r="D27">
        <f>IF(OR($BA4="Any",$BA4=""),1,IF('All Data'!$E27=$BA4,1,0))</f>
        <v>1</v>
      </c>
      <c r="E27">
        <f>IF(OR($BA5="Any",$BA5=""),1,IF('All Data'!$F27=$BA5,1,0))</f>
        <v>1</v>
      </c>
      <c r="F27">
        <f>IF(OR($BA6="Any",$BA6=""),1,IF('All Data'!$G27=$BA6,1,0))</f>
        <v>0</v>
      </c>
      <c r="G27">
        <f>IF(AND(OR($BA$8="",ISNUMBER(SEARCH($BA$8,'All Data'!$K27&amp;" "&amp;'All Data'!$M27))),OR($BA$9="",ISNUMBER(SEARCH($BA$9,'All Data'!$K27&amp;" "&amp;'All Data'!$M27))),OR($BA$10="",ISNUMBER(SEARCH($BA$10,'All Data'!$K27&amp;" "&amp;'All Data'!$M27))),OR($BA$11="",ISNUMBER(SEARCH($BA$11,'All Data'!$K27&amp;" "&amp;'All Data'!$M27))),OR($BA$12="",ISNUMBER(SEARCH($BA$12,'All Data'!$K27&amp;" "&amp;'All Data'!$M27))),OR($BA$13="",ISNUMBER(SEARCH($BA$13,'All Data'!$K27&amp;" "&amp;'All Data'!$M27))),OR($BA$14="",ISNUMBER(SEARCH($BA$14,'All Data'!$K27&amp;" "&amp;'All Data'!$M27))),OR($BA$15="",ISNUMBER(SEARCH($BA$15,'All Data'!$K27&amp;" "&amp;'All Data'!$M27)))),1,0)</f>
        <v>1</v>
      </c>
      <c r="H27">
        <f t="shared" si="0"/>
        <v>1</v>
      </c>
      <c r="I27">
        <f>IF(AND($H27=1,'All Data'!$C27&lt;&gt;"",COUNTIFS($H$2:H26,1,'All Data'!$C$2:$C26,'All Data'!$C27)=0),1,0)</f>
        <v>0</v>
      </c>
      <c r="J27" t="str">
        <f>IF($I27=1,SUM($I$2:I27),"")</f>
        <v/>
      </c>
      <c r="K27">
        <f t="shared" si="1"/>
        <v>1</v>
      </c>
      <c r="L27">
        <f>IF(AND($K27=1,'All Data'!$D27&lt;&gt;"",COUNTIFS($K$2:K26,1,'All Data'!$D$2:$D26,'All Data'!$D27)=0),1,0)</f>
        <v>1</v>
      </c>
      <c r="M27">
        <f>IF($L27=1,SUM($L$2:L27),"")</f>
        <v>13</v>
      </c>
      <c r="N27">
        <f t="shared" si="2"/>
        <v>1</v>
      </c>
      <c r="O27">
        <f>IF(AND($N27=1,'All Data'!$E27&lt;&gt;"",COUNTIFS($N$2:N26,1,'All Data'!$E$2:$E26,'All Data'!$E27)=0),1,0)</f>
        <v>0</v>
      </c>
      <c r="P27" t="str">
        <f>IF($O27=1,SUM($O$2:O27),"")</f>
        <v/>
      </c>
      <c r="Q27">
        <f t="shared" si="3"/>
        <v>1</v>
      </c>
      <c r="R27">
        <f>IF(AND($Q27=1,'All Data'!$F27&lt;&gt;"",COUNTIFS($Q$2:Q26,1,'All Data'!$F$2:$F26,'All Data'!$F27)=0),1,0)</f>
        <v>0</v>
      </c>
      <c r="S27" t="str">
        <f>IF($R27=1,SUM($R$2:R27),"")</f>
        <v/>
      </c>
      <c r="T27">
        <f t="shared" si="4"/>
        <v>1</v>
      </c>
      <c r="U27">
        <f>IF(AND($T27=1,'All Data'!$G27&lt;&gt;"",COUNTIFS($T$2:T26,1,'All Data'!$G$2:$G26,'All Data'!$G27)=0),1,0)</f>
        <v>1</v>
      </c>
      <c r="V27">
        <f>IF($U27=1,SUM($U$2:U27),"")</f>
        <v>10</v>
      </c>
      <c r="W27">
        <f t="shared" si="5"/>
        <v>0</v>
      </c>
      <c r="X27" t="str">
        <f>IF($W27=1,SUM($W$2:W27),"")</f>
        <v/>
      </c>
      <c r="Z27" t="str">
        <f>IFERROR(INDEX('All Data'!$C$2:$C$419,MATCH(25,$J$2:$J$419,0))&amp;"","")</f>
        <v/>
      </c>
      <c r="AB27" t="str">
        <f>IFERROR(INDEX('All Data'!$D$2:$D$419,MATCH(25,$M$2:$M$419,0))&amp;"","")</f>
        <v>Stud wall to roof void</v>
      </c>
      <c r="AD27" t="str">
        <f>IFERROR(INDEX('All Data'!$E$2:$E$419,MATCH(25,$P$2:$P$419,0))&amp;"","")</f>
        <v/>
      </c>
      <c r="AF27" t="str">
        <f>IFERROR(INDEX('All Data'!$F$2:$F$419,MATCH(25,$S$2:$S$419,0))&amp;"","")</f>
        <v/>
      </c>
      <c r="AH27" t="str">
        <f>IFERROR(INDEX('All Data'!$G$2:$G$419,MATCH(25,$V$2:$V$419,0))&amp;"","")</f>
        <v>Pre-1975</v>
      </c>
    </row>
    <row r="28" spans="1:34" x14ac:dyDescent="0.3">
      <c r="A28">
        <f>IF(OR($BA1="Any",$BA1=""),1,IF('All Data'!$B28=$BA1,1,0))</f>
        <v>1</v>
      </c>
      <c r="B28">
        <f>IF(OR($BA2="Any",$BA2=""),1,IF('All Data'!$C28=$BA2,1,0))</f>
        <v>1</v>
      </c>
      <c r="C28">
        <f>IF(OR($BA3="Any",$BA3=""),1,IF('All Data'!$D28=$BA3,1,0))</f>
        <v>1</v>
      </c>
      <c r="D28">
        <f>IF(OR($BA4="Any",$BA4=""),1,IF('All Data'!$E28=$BA4,1,0))</f>
        <v>1</v>
      </c>
      <c r="E28">
        <f>IF(OR($BA5="Any",$BA5=""),1,IF('All Data'!$F28=$BA5,1,0))</f>
        <v>1</v>
      </c>
      <c r="F28">
        <f>IF(OR($BA6="Any",$BA6=""),1,IF('All Data'!$G28=$BA6,1,0))</f>
        <v>0</v>
      </c>
      <c r="G28">
        <f>IF(AND(OR($BA$8="",ISNUMBER(SEARCH($BA$8,'All Data'!$K28&amp;" "&amp;'All Data'!$M28))),OR($BA$9="",ISNUMBER(SEARCH($BA$9,'All Data'!$K28&amp;" "&amp;'All Data'!$M28))),OR($BA$10="",ISNUMBER(SEARCH($BA$10,'All Data'!$K28&amp;" "&amp;'All Data'!$M28))),OR($BA$11="",ISNUMBER(SEARCH($BA$11,'All Data'!$K28&amp;" "&amp;'All Data'!$M28))),OR($BA$12="",ISNUMBER(SEARCH($BA$12,'All Data'!$K28&amp;" "&amp;'All Data'!$M28))),OR($BA$13="",ISNUMBER(SEARCH($BA$13,'All Data'!$K28&amp;" "&amp;'All Data'!$M28))),OR($BA$14="",ISNUMBER(SEARCH($BA$14,'All Data'!$K28&amp;" "&amp;'All Data'!$M28))),OR($BA$15="",ISNUMBER(SEARCH($BA$15,'All Data'!$K28&amp;" "&amp;'All Data'!$M28)))),1,0)</f>
        <v>1</v>
      </c>
      <c r="H28">
        <f t="shared" si="0"/>
        <v>1</v>
      </c>
      <c r="I28">
        <f>IF(AND($H28=1,'All Data'!$C28&lt;&gt;"",COUNTIFS($H$2:H27,1,'All Data'!$C$2:$C27,'All Data'!$C28)=0),1,0)</f>
        <v>0</v>
      </c>
      <c r="J28" t="str">
        <f>IF($I28=1,SUM($I$2:I28),"")</f>
        <v/>
      </c>
      <c r="K28">
        <f t="shared" si="1"/>
        <v>1</v>
      </c>
      <c r="L28">
        <f>IF(AND($K28=1,'All Data'!$D28&lt;&gt;"",COUNTIFS($K$2:K27,1,'All Data'!$D$2:$D27,'All Data'!$D28)=0),1,0)</f>
        <v>0</v>
      </c>
      <c r="M28" t="str">
        <f>IF($L28=1,SUM($L$2:L28),"")</f>
        <v/>
      </c>
      <c r="N28">
        <f t="shared" si="2"/>
        <v>1</v>
      </c>
      <c r="O28">
        <f>IF(AND($N28=1,'All Data'!$E28&lt;&gt;"",COUNTIFS($N$2:N27,1,'All Data'!$E$2:$E27,'All Data'!$E28)=0),1,0)</f>
        <v>0</v>
      </c>
      <c r="P28" t="str">
        <f>IF($O28=1,SUM($O$2:O28),"")</f>
        <v/>
      </c>
      <c r="Q28">
        <f t="shared" si="3"/>
        <v>1</v>
      </c>
      <c r="R28">
        <f>IF(AND($Q28=1,'All Data'!$F28&lt;&gt;"",COUNTIFS($Q$2:Q27,1,'All Data'!$F$2:$F27,'All Data'!$F28)=0),1,0)</f>
        <v>0</v>
      </c>
      <c r="S28" t="str">
        <f>IF($R28=1,SUM($R$2:R28),"")</f>
        <v/>
      </c>
      <c r="T28">
        <f t="shared" si="4"/>
        <v>1</v>
      </c>
      <c r="U28">
        <f>IF(AND($T28=1,'All Data'!$G28&lt;&gt;"",COUNTIFS($T$2:T27,1,'All Data'!$G$2:$G27,'All Data'!$G28)=0),1,0)</f>
        <v>1</v>
      </c>
      <c r="V28">
        <f>IF($U28=1,SUM($U$2:U28),"")</f>
        <v>11</v>
      </c>
      <c r="W28">
        <f t="shared" si="5"/>
        <v>0</v>
      </c>
      <c r="X28" t="str">
        <f>IF($W28=1,SUM($W$2:W28),"")</f>
        <v/>
      </c>
      <c r="Z28" t="str">
        <f>IFERROR(INDEX('All Data'!$C$2:$C$419,MATCH(26,$J$2:$J$419,0))&amp;"","")</f>
        <v/>
      </c>
      <c r="AB28" t="str">
        <f>IFERROR(INDEX('All Data'!$D$2:$D$419,MATCH(26,$M$2:$M$419,0))&amp;"","")</f>
        <v>Thin lightweight partition wall</v>
      </c>
      <c r="AD28" t="str">
        <f>IFERROR(INDEX('All Data'!$E$2:$E$419,MATCH(26,$P$2:$P$419,0))&amp;"","")</f>
        <v/>
      </c>
      <c r="AF28" t="str">
        <f>IFERROR(INDEX('All Data'!$F$2:$F$419,MATCH(26,$S$2:$S$419,0))&amp;"","")</f>
        <v/>
      </c>
      <c r="AH28" t="str">
        <f>IFERROR(INDEX('All Data'!$G$2:$G$419,MATCH(26,$V$2:$V$419,0))&amp;"","")</f>
        <v>2002-2006</v>
      </c>
    </row>
    <row r="29" spans="1:34" x14ac:dyDescent="0.3">
      <c r="A29">
        <f>IF(OR($BA1="Any",$BA1=""),1,IF('All Data'!$B29=$BA1,1,0))</f>
        <v>1</v>
      </c>
      <c r="B29">
        <f>IF(OR($BA2="Any",$BA2=""),1,IF('All Data'!$C29=$BA2,1,0))</f>
        <v>1</v>
      </c>
      <c r="C29">
        <f>IF(OR($BA3="Any",$BA3=""),1,IF('All Data'!$D29=$BA3,1,0))</f>
        <v>1</v>
      </c>
      <c r="D29">
        <f>IF(OR($BA4="Any",$BA4=""),1,IF('All Data'!$E29=$BA4,1,0))</f>
        <v>1</v>
      </c>
      <c r="E29">
        <f>IF(OR($BA5="Any",$BA5=""),1,IF('All Data'!$F29=$BA5,1,0))</f>
        <v>1</v>
      </c>
      <c r="F29">
        <f>IF(OR($BA6="Any",$BA6=""),1,IF('All Data'!$G29=$BA6,1,0))</f>
        <v>1</v>
      </c>
      <c r="G29">
        <f>IF(AND(OR($BA$8="",ISNUMBER(SEARCH($BA$8,'All Data'!$K29&amp;" "&amp;'All Data'!$M29))),OR($BA$9="",ISNUMBER(SEARCH($BA$9,'All Data'!$K29&amp;" "&amp;'All Data'!$M29))),OR($BA$10="",ISNUMBER(SEARCH($BA$10,'All Data'!$K29&amp;" "&amp;'All Data'!$M29))),OR($BA$11="",ISNUMBER(SEARCH($BA$11,'All Data'!$K29&amp;" "&amp;'All Data'!$M29))),OR($BA$12="",ISNUMBER(SEARCH($BA$12,'All Data'!$K29&amp;" "&amp;'All Data'!$M29))),OR($BA$13="",ISNUMBER(SEARCH($BA$13,'All Data'!$K29&amp;" "&amp;'All Data'!$M29))),OR($BA$14="",ISNUMBER(SEARCH($BA$14,'All Data'!$K29&amp;" "&amp;'All Data'!$M29))),OR($BA$15="",ISNUMBER(SEARCH($BA$15,'All Data'!$K29&amp;" "&amp;'All Data'!$M29)))),1,0)</f>
        <v>1</v>
      </c>
      <c r="H29">
        <f t="shared" si="0"/>
        <v>1</v>
      </c>
      <c r="I29">
        <f>IF(AND($H29=1,'All Data'!$C29&lt;&gt;"",COUNTIFS($H$2:H28,1,'All Data'!$C$2:$C28,'All Data'!$C29)=0),1,0)</f>
        <v>0</v>
      </c>
      <c r="J29" t="str">
        <f>IF($I29=1,SUM($I$2:I29),"")</f>
        <v/>
      </c>
      <c r="K29">
        <f t="shared" si="1"/>
        <v>1</v>
      </c>
      <c r="L29">
        <f>IF(AND($K29=1,'All Data'!$D29&lt;&gt;"",COUNTIFS($K$2:K28,1,'All Data'!$D$2:$D28,'All Data'!$D29)=0),1,0)</f>
        <v>0</v>
      </c>
      <c r="M29" t="str">
        <f>IF($L29=1,SUM($L$2:L29),"")</f>
        <v/>
      </c>
      <c r="N29">
        <f t="shared" si="2"/>
        <v>1</v>
      </c>
      <c r="O29">
        <f>IF(AND($N29=1,'All Data'!$E29&lt;&gt;"",COUNTIFS($N$2:N28,1,'All Data'!$E$2:$E28,'All Data'!$E29)=0),1,0)</f>
        <v>0</v>
      </c>
      <c r="P29" t="str">
        <f>IF($O29=1,SUM($O$2:O29),"")</f>
        <v/>
      </c>
      <c r="Q29">
        <f t="shared" si="3"/>
        <v>1</v>
      </c>
      <c r="R29">
        <f>IF(AND($Q29=1,'All Data'!$F29&lt;&gt;"",COUNTIFS($Q$2:Q28,1,'All Data'!$F$2:$F28,'All Data'!$F29)=0),1,0)</f>
        <v>0</v>
      </c>
      <c r="S29" t="str">
        <f>IF($R29=1,SUM($R$2:R29),"")</f>
        <v/>
      </c>
      <c r="T29">
        <f t="shared" si="4"/>
        <v>1</v>
      </c>
      <c r="U29">
        <f>IF(AND($T29=1,'All Data'!$G29&lt;&gt;"",COUNTIFS($T$2:T28,1,'All Data'!$G$2:$G28,'All Data'!$G29)=0),1,0)</f>
        <v>1</v>
      </c>
      <c r="V29">
        <f>IF($U29=1,SUM($U$2:U29),"")</f>
        <v>12</v>
      </c>
      <c r="W29">
        <f t="shared" si="5"/>
        <v>1</v>
      </c>
      <c r="X29">
        <f>IF($W29=1,SUM($W$2:W29),"")</f>
        <v>1</v>
      </c>
      <c r="Z29" t="str">
        <f>IFERROR(INDEX('All Data'!$C$2:$C$419,MATCH(27,$J$2:$J$419,0))&amp;"","")</f>
        <v/>
      </c>
      <c r="AB29" t="str">
        <f>IFERROR(INDEX('All Data'!$D$2:$D$419,MATCH(27,$M$2:$M$419,0))&amp;"","")</f>
        <v>Timber frame wall</v>
      </c>
      <c r="AD29" t="str">
        <f>IFERROR(INDEX('All Data'!$E$2:$E$419,MATCH(27,$P$2:$P$419,0))&amp;"","")</f>
        <v/>
      </c>
      <c r="AF29" t="str">
        <f>IFERROR(INDEX('All Data'!$F$2:$F$419,MATCH(27,$S$2:$S$419,0))&amp;"","")</f>
        <v/>
      </c>
      <c r="AH29" t="str">
        <f>IFERROR(INDEX('All Data'!$G$2:$G$419,MATCH(27,$V$2:$V$419,0))&amp;"","")</f>
        <v>50mm min. wool</v>
      </c>
    </row>
    <row r="30" spans="1:34" x14ac:dyDescent="0.3">
      <c r="A30">
        <f>IF(OR($BA1="Any",$BA1=""),1,IF('All Data'!$B30=$BA1,1,0))</f>
        <v>1</v>
      </c>
      <c r="B30">
        <f>IF(OR($BA2="Any",$BA2=""),1,IF('All Data'!$C30=$BA2,1,0))</f>
        <v>1</v>
      </c>
      <c r="C30">
        <f>IF(OR($BA3="Any",$BA3=""),1,IF('All Data'!$D30=$BA3,1,0))</f>
        <v>1</v>
      </c>
      <c r="D30">
        <f>IF(OR($BA4="Any",$BA4=""),1,IF('All Data'!$E30=$BA4,1,0))</f>
        <v>1</v>
      </c>
      <c r="E30">
        <f>IF(OR($BA5="Any",$BA5=""),1,IF('All Data'!$F30=$BA5,1,0))</f>
        <v>1</v>
      </c>
      <c r="F30">
        <f>IF(OR($BA6="Any",$BA6=""),1,IF('All Data'!$G30=$BA6,1,0))</f>
        <v>0</v>
      </c>
      <c r="G30">
        <f>IF(AND(OR($BA$8="",ISNUMBER(SEARCH($BA$8,'All Data'!$K30&amp;" "&amp;'All Data'!$M30))),OR($BA$9="",ISNUMBER(SEARCH($BA$9,'All Data'!$K30&amp;" "&amp;'All Data'!$M30))),OR($BA$10="",ISNUMBER(SEARCH($BA$10,'All Data'!$K30&amp;" "&amp;'All Data'!$M30))),OR($BA$11="",ISNUMBER(SEARCH($BA$11,'All Data'!$K30&amp;" "&amp;'All Data'!$M30))),OR($BA$12="",ISNUMBER(SEARCH($BA$12,'All Data'!$K30&amp;" "&amp;'All Data'!$M30))),OR($BA$13="",ISNUMBER(SEARCH($BA$13,'All Data'!$K30&amp;" "&amp;'All Data'!$M30))),OR($BA$14="",ISNUMBER(SEARCH($BA$14,'All Data'!$K30&amp;" "&amp;'All Data'!$M30))),OR($BA$15="",ISNUMBER(SEARCH($BA$15,'All Data'!$K30&amp;" "&amp;'All Data'!$M30)))),1,0)</f>
        <v>1</v>
      </c>
      <c r="H30">
        <f t="shared" si="0"/>
        <v>1</v>
      </c>
      <c r="I30">
        <f>IF(AND($H30=1,'All Data'!$C30&lt;&gt;"",COUNTIFS($H$2:H29,1,'All Data'!$C$2:$C29,'All Data'!$C30)=0),1,0)</f>
        <v>0</v>
      </c>
      <c r="J30" t="str">
        <f>IF($I30=1,SUM($I$2:I30),"")</f>
        <v/>
      </c>
      <c r="K30">
        <f t="shared" si="1"/>
        <v>1</v>
      </c>
      <c r="L30">
        <f>IF(AND($K30=1,'All Data'!$D30&lt;&gt;"",COUNTIFS($K$2:K29,1,'All Data'!$D$2:$D29,'All Data'!$D30)=0),1,0)</f>
        <v>0</v>
      </c>
      <c r="M30" t="str">
        <f>IF($L30=1,SUM($L$2:L30),"")</f>
        <v/>
      </c>
      <c r="N30">
        <f t="shared" si="2"/>
        <v>1</v>
      </c>
      <c r="O30">
        <f>IF(AND($N30=1,'All Data'!$E30&lt;&gt;"",COUNTIFS($N$2:N29,1,'All Data'!$E$2:$E29,'All Data'!$E30)=0),1,0)</f>
        <v>0</v>
      </c>
      <c r="P30" t="str">
        <f>IF($O30=1,SUM($O$2:O30),"")</f>
        <v/>
      </c>
      <c r="Q30">
        <f t="shared" si="3"/>
        <v>1</v>
      </c>
      <c r="R30">
        <f>IF(AND($Q30=1,'All Data'!$F30&lt;&gt;"",COUNTIFS($Q$2:Q29,1,'All Data'!$F$2:$F29,'All Data'!$F30)=0),1,0)</f>
        <v>0</v>
      </c>
      <c r="S30" t="str">
        <f>IF($R30=1,SUM($R$2:R30),"")</f>
        <v/>
      </c>
      <c r="T30">
        <f t="shared" si="4"/>
        <v>1</v>
      </c>
      <c r="U30">
        <f>IF(AND($T30=1,'All Data'!$G30&lt;&gt;"",COUNTIFS($T$2:T29,1,'All Data'!$G$2:$G29,'All Data'!$G30)=0),1,0)</f>
        <v>1</v>
      </c>
      <c r="V30">
        <f>IF($U30=1,SUM($U$2:U30),"")</f>
        <v>13</v>
      </c>
      <c r="W30">
        <f t="shared" si="5"/>
        <v>0</v>
      </c>
      <c r="X30" t="str">
        <f>IF($W30=1,SUM($W$2:W30),"")</f>
        <v/>
      </c>
      <c r="Z30" t="str">
        <f>IFERROR(INDEX('All Data'!$C$2:$C$419,MATCH(28,$J$2:$J$419,0))&amp;"","")</f>
        <v/>
      </c>
      <c r="AB30" t="str">
        <f>IFERROR(INDEX('All Data'!$D$2:$D$419,MATCH(28,$M$2:$M$419,0))&amp;"","")</f>
        <v>Timber framed (masonry inner leaf)</v>
      </c>
      <c r="AD30" t="str">
        <f>IFERROR(INDEX('All Data'!$E$2:$E$419,MATCH(28,$P$2:$P$419,0))&amp;"","")</f>
        <v/>
      </c>
      <c r="AF30" t="str">
        <f>IFERROR(INDEX('All Data'!$F$2:$F$419,MATCH(28,$S$2:$S$419,0))&amp;"","")</f>
        <v/>
      </c>
      <c r="AH30" t="str">
        <f>IFERROR(INDEX('All Data'!$G$2:$G$419,MATCH(28,$V$2:$V$419,0))&amp;"","")</f>
        <v>75mm min. wool</v>
      </c>
    </row>
    <row r="31" spans="1:34" x14ac:dyDescent="0.3">
      <c r="A31">
        <f>IF(OR($BA1="Any",$BA1=""),1,IF('All Data'!$B31=$BA1,1,0))</f>
        <v>1</v>
      </c>
      <c r="B31">
        <f>IF(OR($BA2="Any",$BA2=""),1,IF('All Data'!$C31=$BA2,1,0))</f>
        <v>1</v>
      </c>
      <c r="C31">
        <f>IF(OR($BA3="Any",$BA3=""),1,IF('All Data'!$D31=$BA3,1,0))</f>
        <v>1</v>
      </c>
      <c r="D31">
        <f>IF(OR($BA4="Any",$BA4=""),1,IF('All Data'!$E31=$BA4,1,0))</f>
        <v>1</v>
      </c>
      <c r="E31">
        <f>IF(OR($BA5="Any",$BA5=""),1,IF('All Data'!$F31=$BA5,1,0))</f>
        <v>1</v>
      </c>
      <c r="F31">
        <f>IF(OR($BA6="Any",$BA6=""),1,IF('All Data'!$G31=$BA6,1,0))</f>
        <v>0</v>
      </c>
      <c r="G31">
        <f>IF(AND(OR($BA$8="",ISNUMBER(SEARCH($BA$8,'All Data'!$K31&amp;" "&amp;'All Data'!$M31))),OR($BA$9="",ISNUMBER(SEARCH($BA$9,'All Data'!$K31&amp;" "&amp;'All Data'!$M31))),OR($BA$10="",ISNUMBER(SEARCH($BA$10,'All Data'!$K31&amp;" "&amp;'All Data'!$M31))),OR($BA$11="",ISNUMBER(SEARCH($BA$11,'All Data'!$K31&amp;" "&amp;'All Data'!$M31))),OR($BA$12="",ISNUMBER(SEARCH($BA$12,'All Data'!$K31&amp;" "&amp;'All Data'!$M31))),OR($BA$13="",ISNUMBER(SEARCH($BA$13,'All Data'!$K31&amp;" "&amp;'All Data'!$M31))),OR($BA$14="",ISNUMBER(SEARCH($BA$14,'All Data'!$K31&amp;" "&amp;'All Data'!$M31))),OR($BA$15="",ISNUMBER(SEARCH($BA$15,'All Data'!$K31&amp;" "&amp;'All Data'!$M31)))),1,0)</f>
        <v>1</v>
      </c>
      <c r="H31">
        <f t="shared" si="0"/>
        <v>1</v>
      </c>
      <c r="I31">
        <f>IF(AND($H31=1,'All Data'!$C31&lt;&gt;"",COUNTIFS($H$2:H30,1,'All Data'!$C$2:$C30,'All Data'!$C31)=0),1,0)</f>
        <v>0</v>
      </c>
      <c r="J31" t="str">
        <f>IF($I31=1,SUM($I$2:I31),"")</f>
        <v/>
      </c>
      <c r="K31">
        <f t="shared" si="1"/>
        <v>1</v>
      </c>
      <c r="L31">
        <f>IF(AND($K31=1,'All Data'!$D31&lt;&gt;"",COUNTIFS($K$2:K30,1,'All Data'!$D$2:$D30,'All Data'!$D31)=0),1,0)</f>
        <v>0</v>
      </c>
      <c r="M31" t="str">
        <f>IF($L31=1,SUM($L$2:L31),"")</f>
        <v/>
      </c>
      <c r="N31">
        <f t="shared" si="2"/>
        <v>1</v>
      </c>
      <c r="O31">
        <f>IF(AND($N31=1,'All Data'!$E31&lt;&gt;"",COUNTIFS($N$2:N30,1,'All Data'!$E$2:$E30,'All Data'!$E31)=0),1,0)</f>
        <v>0</v>
      </c>
      <c r="P31" t="str">
        <f>IF($O31=1,SUM($O$2:O31),"")</f>
        <v/>
      </c>
      <c r="Q31">
        <f t="shared" si="3"/>
        <v>1</v>
      </c>
      <c r="R31">
        <f>IF(AND($Q31=1,'All Data'!$F31&lt;&gt;"",COUNTIFS($Q$2:Q30,1,'All Data'!$F$2:$F30,'All Data'!$F31)=0),1,0)</f>
        <v>0</v>
      </c>
      <c r="S31" t="str">
        <f>IF($R31=1,SUM($R$2:R31),"")</f>
        <v/>
      </c>
      <c r="T31">
        <f t="shared" si="4"/>
        <v>1</v>
      </c>
      <c r="U31">
        <f>IF(AND($T31=1,'All Data'!$G31&lt;&gt;"",COUNTIFS($T$2:T30,1,'All Data'!$G$2:$G30,'All Data'!$G31)=0),1,0)</f>
        <v>1</v>
      </c>
      <c r="V31">
        <f>IF($U31=1,SUM($U$2:U31),"")</f>
        <v>14</v>
      </c>
      <c r="W31">
        <f t="shared" si="5"/>
        <v>0</v>
      </c>
      <c r="X31" t="str">
        <f>IF($W31=1,SUM($W$2:W31),"")</f>
        <v/>
      </c>
      <c r="Z31" t="str">
        <f>IFERROR(INDEX('All Data'!$C$2:$C$419,MATCH(29,$J$2:$J$419,0))&amp;"","")</f>
        <v/>
      </c>
      <c r="AB31" t="str">
        <f>IFERROR(INDEX('All Data'!$D$2:$D$419,MATCH(29,$M$2:$M$419,0))&amp;"","")</f>
        <v>Timber framed (masonry outer leaf)</v>
      </c>
      <c r="AD31" t="str">
        <f>IFERROR(INDEX('All Data'!$E$2:$E$419,MATCH(29,$P$2:$P$419,0))&amp;"","")</f>
        <v/>
      </c>
      <c r="AF31" t="str">
        <f>IFERROR(INDEX('All Data'!$F$2:$F$419,MATCH(29,$S$2:$S$419,0))&amp;"","")</f>
        <v/>
      </c>
      <c r="AH31" t="str">
        <f>IFERROR(INDEX('All Data'!$G$2:$G$419,MATCH(29,$V$2:$V$419,0))&amp;"","")</f>
        <v>100mm min. wool</v>
      </c>
    </row>
    <row r="32" spans="1:34" x14ac:dyDescent="0.3">
      <c r="A32">
        <f>IF(OR($BA1="Any",$BA1=""),1,IF('All Data'!$B32=$BA1,1,0))</f>
        <v>1</v>
      </c>
      <c r="B32">
        <f>IF(OR($BA2="Any",$BA2=""),1,IF('All Data'!$C32=$BA2,1,0))</f>
        <v>1</v>
      </c>
      <c r="C32">
        <f>IF(OR($BA3="Any",$BA3=""),1,IF('All Data'!$D32=$BA3,1,0))</f>
        <v>1</v>
      </c>
      <c r="D32">
        <f>IF(OR($BA4="Any",$BA4=""),1,IF('All Data'!$E32=$BA4,1,0))</f>
        <v>1</v>
      </c>
      <c r="E32">
        <f>IF(OR($BA5="Any",$BA5=""),1,IF('All Data'!$F32=$BA5,1,0))</f>
        <v>1</v>
      </c>
      <c r="F32">
        <f>IF(OR($BA6="Any",$BA6=""),1,IF('All Data'!$G32=$BA6,1,0))</f>
        <v>0</v>
      </c>
      <c r="G32">
        <f>IF(AND(OR($BA$8="",ISNUMBER(SEARCH($BA$8,'All Data'!$K32&amp;" "&amp;'All Data'!$M32))),OR($BA$9="",ISNUMBER(SEARCH($BA$9,'All Data'!$K32&amp;" "&amp;'All Data'!$M32))),OR($BA$10="",ISNUMBER(SEARCH($BA$10,'All Data'!$K32&amp;" "&amp;'All Data'!$M32))),OR($BA$11="",ISNUMBER(SEARCH($BA$11,'All Data'!$K32&amp;" "&amp;'All Data'!$M32))),OR($BA$12="",ISNUMBER(SEARCH($BA$12,'All Data'!$K32&amp;" "&amp;'All Data'!$M32))),OR($BA$13="",ISNUMBER(SEARCH($BA$13,'All Data'!$K32&amp;" "&amp;'All Data'!$M32))),OR($BA$14="",ISNUMBER(SEARCH($BA$14,'All Data'!$K32&amp;" "&amp;'All Data'!$M32))),OR($BA$15="",ISNUMBER(SEARCH($BA$15,'All Data'!$K32&amp;" "&amp;'All Data'!$M32)))),1,0)</f>
        <v>1</v>
      </c>
      <c r="H32">
        <f t="shared" si="0"/>
        <v>1</v>
      </c>
      <c r="I32">
        <f>IF(AND($H32=1,'All Data'!$C32&lt;&gt;"",COUNTIFS($H$2:H31,1,'All Data'!$C$2:$C31,'All Data'!$C32)=0),1,0)</f>
        <v>0</v>
      </c>
      <c r="J32" t="str">
        <f>IF($I32=1,SUM($I$2:I32),"")</f>
        <v/>
      </c>
      <c r="K32">
        <f t="shared" si="1"/>
        <v>1</v>
      </c>
      <c r="L32">
        <f>IF(AND($K32=1,'All Data'!$D32&lt;&gt;"",COUNTIFS($K$2:K31,1,'All Data'!$D$2:$D31,'All Data'!$D32)=0),1,0)</f>
        <v>0</v>
      </c>
      <c r="M32" t="str">
        <f>IF($L32=1,SUM($L$2:L32),"")</f>
        <v/>
      </c>
      <c r="N32">
        <f t="shared" si="2"/>
        <v>1</v>
      </c>
      <c r="O32">
        <f>IF(AND($N32=1,'All Data'!$E32&lt;&gt;"",COUNTIFS($N$2:N31,1,'All Data'!$E$2:$E31,'All Data'!$E32)=0),1,0)</f>
        <v>0</v>
      </c>
      <c r="P32" t="str">
        <f>IF($O32=1,SUM($O$2:O32),"")</f>
        <v/>
      </c>
      <c r="Q32">
        <f t="shared" si="3"/>
        <v>1</v>
      </c>
      <c r="R32">
        <f>IF(AND($Q32=1,'All Data'!$F32&lt;&gt;"",COUNTIFS($Q$2:Q31,1,'All Data'!$F$2:$F31,'All Data'!$F32)=0),1,0)</f>
        <v>0</v>
      </c>
      <c r="S32" t="str">
        <f>IF($R32=1,SUM($R$2:R32),"")</f>
        <v/>
      </c>
      <c r="T32">
        <f t="shared" si="4"/>
        <v>1</v>
      </c>
      <c r="U32">
        <f>IF(AND($T32=1,'All Data'!$G32&lt;&gt;"",COUNTIFS($T$2:T31,1,'All Data'!$G$2:$G31,'All Data'!$G32)=0),1,0)</f>
        <v>1</v>
      </c>
      <c r="V32">
        <f>IF($U32=1,SUM($U$2:U32),"")</f>
        <v>15</v>
      </c>
      <c r="W32">
        <f t="shared" si="5"/>
        <v>0</v>
      </c>
      <c r="X32" t="str">
        <f>IF($W32=1,SUM($W$2:W32),"")</f>
        <v/>
      </c>
      <c r="Z32" t="str">
        <f>IFERROR(INDEX('All Data'!$C$2:$C$419,MATCH(30,$J$2:$J$419,0))&amp;"","")</f>
        <v/>
      </c>
      <c r="AB32" t="str">
        <f>IFERROR(INDEX('All Data'!$D$2:$D$419,MATCH(30,$M$2:$M$419,0))&amp;"","")</f>
        <v>Timber framed (no solid leaf)</v>
      </c>
      <c r="AD32" t="str">
        <f>IFERROR(INDEX('All Data'!$E$2:$E$419,MATCH(30,$P$2:$P$419,0))&amp;"","")</f>
        <v/>
      </c>
      <c r="AF32" t="str">
        <f>IFERROR(INDEX('All Data'!$F$2:$F$419,MATCH(30,$S$2:$S$419,0))&amp;"","")</f>
        <v/>
      </c>
      <c r="AH32" t="str">
        <f>IFERROR(INDEX('All Data'!$G$2:$G$419,MATCH(30,$V$2:$V$419,0))&amp;"","")</f>
        <v>Retrofit</v>
      </c>
    </row>
    <row r="33" spans="1:34" x14ac:dyDescent="0.3">
      <c r="A33">
        <f>IF(OR($BA1="Any",$BA1=""),1,IF('All Data'!$B33=$BA1,1,0))</f>
        <v>1</v>
      </c>
      <c r="B33">
        <f>IF(OR($BA2="Any",$BA2=""),1,IF('All Data'!$C33=$BA2,1,0))</f>
        <v>1</v>
      </c>
      <c r="C33">
        <f>IF(OR($BA3="Any",$BA3=""),1,IF('All Data'!$D33=$BA3,1,0))</f>
        <v>1</v>
      </c>
      <c r="D33">
        <f>IF(OR($BA4="Any",$BA4=""),1,IF('All Data'!$E33=$BA4,1,0))</f>
        <v>1</v>
      </c>
      <c r="E33">
        <f>IF(OR($BA5="Any",$BA5=""),1,IF('All Data'!$F33=$BA5,1,0))</f>
        <v>1</v>
      </c>
      <c r="F33">
        <f>IF(OR($BA6="Any",$BA6=""),1,IF('All Data'!$G33=$BA6,1,0))</f>
        <v>0</v>
      </c>
      <c r="G33">
        <f>IF(AND(OR($BA$8="",ISNUMBER(SEARCH($BA$8,'All Data'!$K33&amp;" "&amp;'All Data'!$M33))),OR($BA$9="",ISNUMBER(SEARCH($BA$9,'All Data'!$K33&amp;" "&amp;'All Data'!$M33))),OR($BA$10="",ISNUMBER(SEARCH($BA$10,'All Data'!$K33&amp;" "&amp;'All Data'!$M33))),OR($BA$11="",ISNUMBER(SEARCH($BA$11,'All Data'!$K33&amp;" "&amp;'All Data'!$M33))),OR($BA$12="",ISNUMBER(SEARCH($BA$12,'All Data'!$K33&amp;" "&amp;'All Data'!$M33))),OR($BA$13="",ISNUMBER(SEARCH($BA$13,'All Data'!$K33&amp;" "&amp;'All Data'!$M33))),OR($BA$14="",ISNUMBER(SEARCH($BA$14,'All Data'!$K33&amp;" "&amp;'All Data'!$M33))),OR($BA$15="",ISNUMBER(SEARCH($BA$15,'All Data'!$K33&amp;" "&amp;'All Data'!$M33)))),1,0)</f>
        <v>1</v>
      </c>
      <c r="H33">
        <f t="shared" si="0"/>
        <v>1</v>
      </c>
      <c r="I33">
        <f>IF(AND($H33=1,'All Data'!$C33&lt;&gt;"",COUNTIFS($H$2:H32,1,'All Data'!$C$2:$C32,'All Data'!$C33)=0),1,0)</f>
        <v>0</v>
      </c>
      <c r="J33" t="str">
        <f>IF($I33=1,SUM($I$2:I33),"")</f>
        <v/>
      </c>
      <c r="K33">
        <f t="shared" si="1"/>
        <v>1</v>
      </c>
      <c r="L33">
        <f>IF(AND($K33=1,'All Data'!$D33&lt;&gt;"",COUNTIFS($K$2:K32,1,'All Data'!$D$2:$D32,'All Data'!$D33)=0),1,0)</f>
        <v>0</v>
      </c>
      <c r="M33" t="str">
        <f>IF($L33=1,SUM($L$2:L33),"")</f>
        <v/>
      </c>
      <c r="N33">
        <f t="shared" si="2"/>
        <v>1</v>
      </c>
      <c r="O33">
        <f>IF(AND($N33=1,'All Data'!$E33&lt;&gt;"",COUNTIFS($N$2:N32,1,'All Data'!$E$2:$E32,'All Data'!$E33)=0),1,0)</f>
        <v>0</v>
      </c>
      <c r="P33" t="str">
        <f>IF($O33=1,SUM($O$2:O33),"")</f>
        <v/>
      </c>
      <c r="Q33">
        <f t="shared" si="3"/>
        <v>1</v>
      </c>
      <c r="R33">
        <f>IF(AND($Q33=1,'All Data'!$F33&lt;&gt;"",COUNTIFS($Q$2:Q32,1,'All Data'!$F$2:$F32,'All Data'!$F33)=0),1,0)</f>
        <v>1</v>
      </c>
      <c r="S33">
        <f>IF($R33=1,SUM($R$2:R33),"")</f>
        <v>3</v>
      </c>
      <c r="T33">
        <f t="shared" si="4"/>
        <v>1</v>
      </c>
      <c r="U33">
        <f>IF(AND($T33=1,'All Data'!$G33&lt;&gt;"",COUNTIFS($T$2:T32,1,'All Data'!$G$2:$G32,'All Data'!$G33)=0),1,0)</f>
        <v>1</v>
      </c>
      <c r="V33">
        <f>IF($U33=1,SUM($U$2:U33),"")</f>
        <v>16</v>
      </c>
      <c r="W33">
        <f t="shared" si="5"/>
        <v>0</v>
      </c>
      <c r="X33" t="str">
        <f>IF($W33=1,SUM($W$2:W33),"")</f>
        <v/>
      </c>
      <c r="Z33" t="str">
        <f>IFERROR(INDEX('All Data'!$C$2:$C$419,MATCH(31,$J$2:$J$419,0))&amp;"","")</f>
        <v/>
      </c>
      <c r="AB33" t="str">
        <f>IFERROR(INDEX('All Data'!$D$2:$D$419,MATCH(31,$M$2:$M$419,0))&amp;"","")</f>
        <v>Non-transpired solar panel, thickness 100mm</v>
      </c>
      <c r="AD33" t="str">
        <f>IFERROR(INDEX('All Data'!$E$2:$E$419,MATCH(31,$P$2:$P$419,0))&amp;"","")</f>
        <v/>
      </c>
      <c r="AF33" t="str">
        <f>IFERROR(INDEX('All Data'!$F$2:$F$419,MATCH(31,$S$2:$S$419,0))&amp;"","")</f>
        <v/>
      </c>
      <c r="AH33" t="str">
        <f>IFERROR(INDEX('All Data'!$G$2:$G$419,MATCH(31,$V$2:$V$419,0))&amp;"","")</f>
        <v>1984-1991</v>
      </c>
    </row>
    <row r="34" spans="1:34" x14ac:dyDescent="0.3">
      <c r="A34">
        <f>IF(OR($BA1="Any",$BA1=""),1,IF('All Data'!$B34=$BA1,1,0))</f>
        <v>1</v>
      </c>
      <c r="B34">
        <f>IF(OR($BA2="Any",$BA2=""),1,IF('All Data'!$C34=$BA2,1,0))</f>
        <v>1</v>
      </c>
      <c r="C34">
        <f>IF(OR($BA3="Any",$BA3=""),1,IF('All Data'!$D34=$BA3,1,0))</f>
        <v>1</v>
      </c>
      <c r="D34">
        <f>IF(OR($BA4="Any",$BA4=""),1,IF('All Data'!$E34=$BA4,1,0))</f>
        <v>1</v>
      </c>
      <c r="E34">
        <f>IF(OR($BA5="Any",$BA5=""),1,IF('All Data'!$F34=$BA5,1,0))</f>
        <v>1</v>
      </c>
      <c r="F34">
        <f>IF(OR($BA6="Any",$BA6=""),1,IF('All Data'!$G34=$BA6,1,0))</f>
        <v>0</v>
      </c>
      <c r="G34">
        <f>IF(AND(OR($BA$8="",ISNUMBER(SEARCH($BA$8,'All Data'!$K34&amp;" "&amp;'All Data'!$M34))),OR($BA$9="",ISNUMBER(SEARCH($BA$9,'All Data'!$K34&amp;" "&amp;'All Data'!$M34))),OR($BA$10="",ISNUMBER(SEARCH($BA$10,'All Data'!$K34&amp;" "&amp;'All Data'!$M34))),OR($BA$11="",ISNUMBER(SEARCH($BA$11,'All Data'!$K34&amp;" "&amp;'All Data'!$M34))),OR($BA$12="",ISNUMBER(SEARCH($BA$12,'All Data'!$K34&amp;" "&amp;'All Data'!$M34))),OR($BA$13="",ISNUMBER(SEARCH($BA$13,'All Data'!$K34&amp;" "&amp;'All Data'!$M34))),OR($BA$14="",ISNUMBER(SEARCH($BA$14,'All Data'!$K34&amp;" "&amp;'All Data'!$M34))),OR($BA$15="",ISNUMBER(SEARCH($BA$15,'All Data'!$K34&amp;" "&amp;'All Data'!$M34)))),1,0)</f>
        <v>1</v>
      </c>
      <c r="H34">
        <f t="shared" si="0"/>
        <v>1</v>
      </c>
      <c r="I34">
        <f>IF(AND($H34=1,'All Data'!$C34&lt;&gt;"",COUNTIFS($H$2:H33,1,'All Data'!$C$2:$C33,'All Data'!$C34)=0),1,0)</f>
        <v>0</v>
      </c>
      <c r="J34" t="str">
        <f>IF($I34=1,SUM($I$2:I34),"")</f>
        <v/>
      </c>
      <c r="K34">
        <f t="shared" si="1"/>
        <v>1</v>
      </c>
      <c r="L34">
        <f>IF(AND($K34=1,'All Data'!$D34&lt;&gt;"",COUNTIFS($K$2:K33,1,'All Data'!$D$2:$D33,'All Data'!$D34)=0),1,0)</f>
        <v>0</v>
      </c>
      <c r="M34" t="str">
        <f>IF($L34=1,SUM($L$2:L34),"")</f>
        <v/>
      </c>
      <c r="N34">
        <f t="shared" si="2"/>
        <v>1</v>
      </c>
      <c r="O34">
        <f>IF(AND($N34=1,'All Data'!$E34&lt;&gt;"",COUNTIFS($N$2:N33,1,'All Data'!$E$2:$E33,'All Data'!$E34)=0),1,0)</f>
        <v>0</v>
      </c>
      <c r="P34" t="str">
        <f>IF($O34=1,SUM($O$2:O34),"")</f>
        <v/>
      </c>
      <c r="Q34">
        <f t="shared" si="3"/>
        <v>1</v>
      </c>
      <c r="R34">
        <f>IF(AND($Q34=1,'All Data'!$F34&lt;&gt;"",COUNTIFS($Q$2:Q33,1,'All Data'!$F$2:$F33,'All Data'!$F34)=0),1,0)</f>
        <v>1</v>
      </c>
      <c r="S34">
        <f>IF($R34=1,SUM($R$2:R34),"")</f>
        <v>4</v>
      </c>
      <c r="T34">
        <f t="shared" si="4"/>
        <v>1</v>
      </c>
      <c r="U34">
        <f>IF(AND($T34=1,'All Data'!$G34&lt;&gt;"",COUNTIFS($T$2:T33,1,'All Data'!$G$2:$G33,'All Data'!$G34)=0),1,0)</f>
        <v>1</v>
      </c>
      <c r="V34">
        <f>IF($U34=1,SUM($U$2:U34),"")</f>
        <v>17</v>
      </c>
      <c r="W34">
        <f t="shared" si="5"/>
        <v>0</v>
      </c>
      <c r="X34" t="str">
        <f>IF($W34=1,SUM($W$2:W34),"")</f>
        <v/>
      </c>
      <c r="Z34" t="str">
        <f>IFERROR(INDEX('All Data'!$C$2:$C$419,MATCH(32,$J$2:$J$419,0))&amp;"","")</f>
        <v/>
      </c>
      <c r="AB34" t="str">
        <f>IFERROR(INDEX('All Data'!$D$2:$D$419,MATCH(32,$M$2:$M$419,0))&amp;"","")</f>
        <v>Non-transpired solar panel, thickness 68mm</v>
      </c>
      <c r="AD34" t="str">
        <f>IFERROR(INDEX('All Data'!$E$2:$E$419,MATCH(32,$P$2:$P$419,0))&amp;"","")</f>
        <v/>
      </c>
      <c r="AF34" t="str">
        <f>IFERROR(INDEX('All Data'!$F$2:$F$419,MATCH(32,$S$2:$S$419,0))&amp;"","")</f>
        <v/>
      </c>
      <c r="AH34" t="str">
        <f>IFERROR(INDEX('All Data'!$G$2:$G$419,MATCH(32,$V$2:$V$419,0))&amp;"","")</f>
        <v>1992-1999</v>
      </c>
    </row>
    <row r="35" spans="1:34" x14ac:dyDescent="0.3">
      <c r="A35">
        <f>IF(OR($BA1="Any",$BA1=""),1,IF('All Data'!$B35=$BA1,1,0))</f>
        <v>1</v>
      </c>
      <c r="B35">
        <f>IF(OR($BA2="Any",$BA2=""),1,IF('All Data'!$C35=$BA2,1,0))</f>
        <v>1</v>
      </c>
      <c r="C35">
        <f>IF(OR($BA3="Any",$BA3=""),1,IF('All Data'!$D35=$BA3,1,0))</f>
        <v>1</v>
      </c>
      <c r="D35">
        <f>IF(OR($BA4="Any",$BA4=""),1,IF('All Data'!$E35=$BA4,1,0))</f>
        <v>1</v>
      </c>
      <c r="E35">
        <f>IF(OR($BA5="Any",$BA5=""),1,IF('All Data'!$F35=$BA5,1,0))</f>
        <v>1</v>
      </c>
      <c r="F35">
        <f>IF(OR($BA6="Any",$BA6=""),1,IF('All Data'!$G35=$BA6,1,0))</f>
        <v>0</v>
      </c>
      <c r="G35">
        <f>IF(AND(OR($BA$8="",ISNUMBER(SEARCH($BA$8,'All Data'!$K35&amp;" "&amp;'All Data'!$M35))),OR($BA$9="",ISNUMBER(SEARCH($BA$9,'All Data'!$K35&amp;" "&amp;'All Data'!$M35))),OR($BA$10="",ISNUMBER(SEARCH($BA$10,'All Data'!$K35&amp;" "&amp;'All Data'!$M35))),OR($BA$11="",ISNUMBER(SEARCH($BA$11,'All Data'!$K35&amp;" "&amp;'All Data'!$M35))),OR($BA$12="",ISNUMBER(SEARCH($BA$12,'All Data'!$K35&amp;" "&amp;'All Data'!$M35))),OR($BA$13="",ISNUMBER(SEARCH($BA$13,'All Data'!$K35&amp;" "&amp;'All Data'!$M35))),OR($BA$14="",ISNUMBER(SEARCH($BA$14,'All Data'!$K35&amp;" "&amp;'All Data'!$M35))),OR($BA$15="",ISNUMBER(SEARCH($BA$15,'All Data'!$K35&amp;" "&amp;'All Data'!$M35)))),1,0)</f>
        <v>1</v>
      </c>
      <c r="H35">
        <f t="shared" si="0"/>
        <v>1</v>
      </c>
      <c r="I35">
        <f>IF(AND($H35=1,'All Data'!$C35&lt;&gt;"",COUNTIFS($H$2:H34,1,'All Data'!$C$2:$C34,'All Data'!$C35)=0),1,0)</f>
        <v>0</v>
      </c>
      <c r="J35" t="str">
        <f>IF($I35=1,SUM($I$2:I35),"")</f>
        <v/>
      </c>
      <c r="K35">
        <f t="shared" si="1"/>
        <v>1</v>
      </c>
      <c r="L35">
        <f>IF(AND($K35=1,'All Data'!$D35&lt;&gt;"",COUNTIFS($K$2:K34,1,'All Data'!$D$2:$D34,'All Data'!$D35)=0),1,0)</f>
        <v>0</v>
      </c>
      <c r="M35" t="str">
        <f>IF($L35=1,SUM($L$2:L35),"")</f>
        <v/>
      </c>
      <c r="N35">
        <f t="shared" si="2"/>
        <v>1</v>
      </c>
      <c r="O35">
        <f>IF(AND($N35=1,'All Data'!$E35&lt;&gt;"",COUNTIFS($N$2:N34,1,'All Data'!$E$2:$E34,'All Data'!$E35)=0),1,0)</f>
        <v>0</v>
      </c>
      <c r="P35" t="str">
        <f>IF($O35=1,SUM($O$2:O35),"")</f>
        <v/>
      </c>
      <c r="Q35">
        <f t="shared" si="3"/>
        <v>1</v>
      </c>
      <c r="R35">
        <f>IF(AND($Q35=1,'All Data'!$F35&lt;&gt;"",COUNTIFS($Q$2:Q34,1,'All Data'!$F$2:$F34,'All Data'!$F35)=0),1,0)</f>
        <v>0</v>
      </c>
      <c r="S35" t="str">
        <f>IF($R35=1,SUM($R$2:R35),"")</f>
        <v/>
      </c>
      <c r="T35">
        <f t="shared" si="4"/>
        <v>1</v>
      </c>
      <c r="U35">
        <f>IF(AND($T35=1,'All Data'!$G35&lt;&gt;"",COUNTIFS($T$2:T34,1,'All Data'!$G$2:$G34,'All Data'!$G35)=0),1,0)</f>
        <v>1</v>
      </c>
      <c r="V35">
        <f>IF($U35=1,SUM($U$2:U35),"")</f>
        <v>18</v>
      </c>
      <c r="W35">
        <f t="shared" si="5"/>
        <v>0</v>
      </c>
      <c r="X35" t="str">
        <f>IF($W35=1,SUM($W$2:W35),"")</f>
        <v/>
      </c>
      <c r="Z35" t="str">
        <f>IFERROR(INDEX('All Data'!$C$2:$C$419,MATCH(33,$J$2:$J$419,0))&amp;"","")</f>
        <v/>
      </c>
      <c r="AB35" t="str">
        <f>IFERROR(INDEX('All Data'!$D$2:$D$419,MATCH(33,$M$2:$M$419,0))&amp;"","")</f>
        <v>Non-transpired solar panel, thickness 80mm</v>
      </c>
      <c r="AD35" t="str">
        <f>IFERROR(INDEX('All Data'!$E$2:$E$419,MATCH(33,$P$2:$P$419,0))&amp;"","")</f>
        <v/>
      </c>
      <c r="AF35" t="str">
        <f>IFERROR(INDEX('All Data'!$F$2:$F$419,MATCH(33,$S$2:$S$419,0))&amp;"","")</f>
        <v/>
      </c>
      <c r="AH35" t="str">
        <f>IFERROR(INDEX('All Data'!$G$2:$G$419,MATCH(33,$V$2:$V$419,0))&amp;"","")</f>
        <v>2000-2005</v>
      </c>
    </row>
    <row r="36" spans="1:34" x14ac:dyDescent="0.3">
      <c r="A36">
        <f>IF(OR($BA1="Any",$BA1=""),1,IF('All Data'!$B36=$BA1,1,0))</f>
        <v>1</v>
      </c>
      <c r="B36">
        <f>IF(OR($BA2="Any",$BA2=""),1,IF('All Data'!$C36=$BA2,1,0))</f>
        <v>1</v>
      </c>
      <c r="C36">
        <f>IF(OR($BA3="Any",$BA3=""),1,IF('All Data'!$D36=$BA3,1,0))</f>
        <v>1</v>
      </c>
      <c r="D36">
        <f>IF(OR($BA4="Any",$BA4=""),1,IF('All Data'!$E36=$BA4,1,0))</f>
        <v>1</v>
      </c>
      <c r="E36">
        <f>IF(OR($BA5="Any",$BA5=""),1,IF('All Data'!$F36=$BA5,1,0))</f>
        <v>1</v>
      </c>
      <c r="F36">
        <f>IF(OR($BA6="Any",$BA6=""),1,IF('All Data'!$G36=$BA6,1,0))</f>
        <v>0</v>
      </c>
      <c r="G36">
        <f>IF(AND(OR($BA$8="",ISNUMBER(SEARCH($BA$8,'All Data'!$K36&amp;" "&amp;'All Data'!$M36))),OR($BA$9="",ISNUMBER(SEARCH($BA$9,'All Data'!$K36&amp;" "&amp;'All Data'!$M36))),OR($BA$10="",ISNUMBER(SEARCH($BA$10,'All Data'!$K36&amp;" "&amp;'All Data'!$M36))),OR($BA$11="",ISNUMBER(SEARCH($BA$11,'All Data'!$K36&amp;" "&amp;'All Data'!$M36))),OR($BA$12="",ISNUMBER(SEARCH($BA$12,'All Data'!$K36&amp;" "&amp;'All Data'!$M36))),OR($BA$13="",ISNUMBER(SEARCH($BA$13,'All Data'!$K36&amp;" "&amp;'All Data'!$M36))),OR($BA$14="",ISNUMBER(SEARCH($BA$14,'All Data'!$K36&amp;" "&amp;'All Data'!$M36))),OR($BA$15="",ISNUMBER(SEARCH($BA$15,'All Data'!$K36&amp;" "&amp;'All Data'!$M36)))),1,0)</f>
        <v>1</v>
      </c>
      <c r="H36">
        <f t="shared" si="0"/>
        <v>1</v>
      </c>
      <c r="I36">
        <f>IF(AND($H36=1,'All Data'!$C36&lt;&gt;"",COUNTIFS($H$2:H35,1,'All Data'!$C$2:$C35,'All Data'!$C36)=0),1,0)</f>
        <v>0</v>
      </c>
      <c r="J36" t="str">
        <f>IF($I36=1,SUM($I$2:I36),"")</f>
        <v/>
      </c>
      <c r="K36">
        <f t="shared" si="1"/>
        <v>1</v>
      </c>
      <c r="L36">
        <f>IF(AND($K36=1,'All Data'!$D36&lt;&gt;"",COUNTIFS($K$2:K35,1,'All Data'!$D$2:$D35,'All Data'!$D36)=0),1,0)</f>
        <v>0</v>
      </c>
      <c r="M36" t="str">
        <f>IF($L36=1,SUM($L$2:L36),"")</f>
        <v/>
      </c>
      <c r="N36">
        <f t="shared" si="2"/>
        <v>1</v>
      </c>
      <c r="O36">
        <f>IF(AND($N36=1,'All Data'!$E36&lt;&gt;"",COUNTIFS($N$2:N35,1,'All Data'!$E$2:$E35,'All Data'!$E36)=0),1,0)</f>
        <v>0</v>
      </c>
      <c r="P36" t="str">
        <f>IF($O36=1,SUM($O$2:O36),"")</f>
        <v/>
      </c>
      <c r="Q36">
        <f t="shared" si="3"/>
        <v>1</v>
      </c>
      <c r="R36">
        <f>IF(AND($Q36=1,'All Data'!$F36&lt;&gt;"",COUNTIFS($Q$2:Q35,1,'All Data'!$F$2:$F35,'All Data'!$F36)=0),1,0)</f>
        <v>0</v>
      </c>
      <c r="S36" t="str">
        <f>IF($R36=1,SUM($R$2:R36),"")</f>
        <v/>
      </c>
      <c r="T36">
        <f t="shared" si="4"/>
        <v>1</v>
      </c>
      <c r="U36">
        <f>IF(AND($T36=1,'All Data'!$G36&lt;&gt;"",COUNTIFS($T$2:T35,1,'All Data'!$G$2:$G35,'All Data'!$G36)=0),1,0)</f>
        <v>1</v>
      </c>
      <c r="V36">
        <f>IF($U36=1,SUM($U$2:U36),"")</f>
        <v>19</v>
      </c>
      <c r="W36">
        <f t="shared" si="5"/>
        <v>0</v>
      </c>
      <c r="X36" t="str">
        <f>IF($W36=1,SUM($W$2:W36),"")</f>
        <v/>
      </c>
      <c r="Z36" t="str">
        <f>IFERROR(INDEX('All Data'!$C$2:$C$419,MATCH(34,$J$2:$J$419,0))&amp;"","")</f>
        <v/>
      </c>
      <c r="AB36" t="str">
        <f>IFERROR(INDEX('All Data'!$D$2:$D$419,MATCH(34,$M$2:$M$419,0))&amp;"","")</f>
        <v>Steel frame wall-50mm exp. polystyrene</v>
      </c>
      <c r="AD36" t="str">
        <f>IFERROR(INDEX('All Data'!$E$2:$E$419,MATCH(34,$P$2:$P$419,0))&amp;"","")</f>
        <v/>
      </c>
      <c r="AF36" t="str">
        <f>IFERROR(INDEX('All Data'!$F$2:$F$419,MATCH(34,$S$2:$S$419,0))&amp;"","")</f>
        <v/>
      </c>
      <c r="AH36" t="str">
        <f>IFERROR(INDEX('All Data'!$G$2:$G$419,MATCH(34,$V$2:$V$419,0))&amp;"","")</f>
        <v>50mm phenolic foam</v>
      </c>
    </row>
    <row r="37" spans="1:34" x14ac:dyDescent="0.3">
      <c r="A37">
        <f>IF(OR($BA1="Any",$BA1=""),1,IF('All Data'!$B37=$BA1,1,0))</f>
        <v>1</v>
      </c>
      <c r="B37">
        <f>IF(OR($BA2="Any",$BA2=""),1,IF('All Data'!$C37=$BA2,1,0))</f>
        <v>1</v>
      </c>
      <c r="C37">
        <f>IF(OR($BA3="Any",$BA3=""),1,IF('All Data'!$D37=$BA3,1,0))</f>
        <v>1</v>
      </c>
      <c r="D37">
        <f>IF(OR($BA4="Any",$BA4=""),1,IF('All Data'!$E37=$BA4,1,0))</f>
        <v>1</v>
      </c>
      <c r="E37">
        <f>IF(OR($BA5="Any",$BA5=""),1,IF('All Data'!$F37=$BA5,1,0))</f>
        <v>1</v>
      </c>
      <c r="F37">
        <f>IF(OR($BA6="Any",$BA6=""),1,IF('All Data'!$G37=$BA6,1,0))</f>
        <v>0</v>
      </c>
      <c r="G37">
        <f>IF(AND(OR($BA$8="",ISNUMBER(SEARCH($BA$8,'All Data'!$K37&amp;" "&amp;'All Data'!$M37))),OR($BA$9="",ISNUMBER(SEARCH($BA$9,'All Data'!$K37&amp;" "&amp;'All Data'!$M37))),OR($BA$10="",ISNUMBER(SEARCH($BA$10,'All Data'!$K37&amp;" "&amp;'All Data'!$M37))),OR($BA$11="",ISNUMBER(SEARCH($BA$11,'All Data'!$K37&amp;" "&amp;'All Data'!$M37))),OR($BA$12="",ISNUMBER(SEARCH($BA$12,'All Data'!$K37&amp;" "&amp;'All Data'!$M37))),OR($BA$13="",ISNUMBER(SEARCH($BA$13,'All Data'!$K37&amp;" "&amp;'All Data'!$M37))),OR($BA$14="",ISNUMBER(SEARCH($BA$14,'All Data'!$K37&amp;" "&amp;'All Data'!$M37))),OR($BA$15="",ISNUMBER(SEARCH($BA$15,'All Data'!$K37&amp;" "&amp;'All Data'!$M37)))),1,0)</f>
        <v>1</v>
      </c>
      <c r="H37">
        <f t="shared" si="0"/>
        <v>1</v>
      </c>
      <c r="I37">
        <f>IF(AND($H37=1,'All Data'!$C37&lt;&gt;"",COUNTIFS($H$2:H36,1,'All Data'!$C$2:$C36,'All Data'!$C37)=0),1,0)</f>
        <v>0</v>
      </c>
      <c r="J37" t="str">
        <f>IF($I37=1,SUM($I$2:I37),"")</f>
        <v/>
      </c>
      <c r="K37">
        <f t="shared" si="1"/>
        <v>1</v>
      </c>
      <c r="L37">
        <f>IF(AND($K37=1,'All Data'!$D37&lt;&gt;"",COUNTIFS($K$2:K36,1,'All Data'!$D$2:$D36,'All Data'!$D37)=0),1,0)</f>
        <v>0</v>
      </c>
      <c r="M37" t="str">
        <f>IF($L37=1,SUM($L$2:L37),"")</f>
        <v/>
      </c>
      <c r="N37">
        <f t="shared" si="2"/>
        <v>1</v>
      </c>
      <c r="O37">
        <f>IF(AND($N37=1,'All Data'!$E37&lt;&gt;"",COUNTIFS($N$2:N36,1,'All Data'!$E$2:$E36,'All Data'!$E37)=0),1,0)</f>
        <v>0</v>
      </c>
      <c r="P37" t="str">
        <f>IF($O37=1,SUM($O$2:O37),"")</f>
        <v/>
      </c>
      <c r="Q37">
        <f t="shared" si="3"/>
        <v>1</v>
      </c>
      <c r="R37">
        <f>IF(AND($Q37=1,'All Data'!$F37&lt;&gt;"",COUNTIFS($Q$2:Q36,1,'All Data'!$F$2:$F36,'All Data'!$F37)=0),1,0)</f>
        <v>0</v>
      </c>
      <c r="S37" t="str">
        <f>IF($R37=1,SUM($R$2:R37),"")</f>
        <v/>
      </c>
      <c r="T37">
        <f t="shared" si="4"/>
        <v>1</v>
      </c>
      <c r="U37">
        <f>IF(AND($T37=1,'All Data'!$G37&lt;&gt;"",COUNTIFS($T$2:T36,1,'All Data'!$G$2:$G36,'All Data'!$G37)=0),1,0)</f>
        <v>1</v>
      </c>
      <c r="V37">
        <f>IF($U37=1,SUM($U$2:U37),"")</f>
        <v>20</v>
      </c>
      <c r="W37">
        <f t="shared" si="5"/>
        <v>0</v>
      </c>
      <c r="X37" t="str">
        <f>IF($W37=1,SUM($W$2:W37),"")</f>
        <v/>
      </c>
      <c r="Z37" t="str">
        <f>IFERROR(INDEX('All Data'!$C$2:$C$419,MATCH(35,$J$2:$J$419,0))&amp;"","")</f>
        <v/>
      </c>
      <c r="AB37" t="str">
        <f>IFERROR(INDEX('All Data'!$D$2:$D$419,MATCH(35,$M$2:$M$419,0))&amp;"","")</f>
        <v>Steel frame wall-50mm polyurethane</v>
      </c>
      <c r="AD37" t="str">
        <f>IFERROR(INDEX('All Data'!$E$2:$E$419,MATCH(35,$P$2:$P$419,0))&amp;"","")</f>
        <v/>
      </c>
      <c r="AF37" t="str">
        <f>IFERROR(INDEX('All Data'!$F$2:$F$419,MATCH(35,$S$2:$S$419,0))&amp;"","")</f>
        <v/>
      </c>
      <c r="AH37" t="str">
        <f>IFERROR(INDEX('All Data'!$G$2:$G$419,MATCH(35,$V$2:$V$419,0))&amp;"","")</f>
        <v>50mm polyurethane</v>
      </c>
    </row>
    <row r="38" spans="1:34" x14ac:dyDescent="0.3">
      <c r="A38">
        <f>IF(OR($BA1="Any",$BA1=""),1,IF('All Data'!$B38=$BA1,1,0))</f>
        <v>1</v>
      </c>
      <c r="B38">
        <f>IF(OR($BA2="Any",$BA2=""),1,IF('All Data'!$C38=$BA2,1,0))</f>
        <v>1</v>
      </c>
      <c r="C38">
        <f>IF(OR($BA3="Any",$BA3=""),1,IF('All Data'!$D38=$BA3,1,0))</f>
        <v>1</v>
      </c>
      <c r="D38">
        <f>IF(OR($BA4="Any",$BA4=""),1,IF('All Data'!$E38=$BA4,1,0))</f>
        <v>1</v>
      </c>
      <c r="E38">
        <f>IF(OR($BA5="Any",$BA5=""),1,IF('All Data'!$F38=$BA5,1,0))</f>
        <v>1</v>
      </c>
      <c r="F38">
        <f>IF(OR($BA6="Any",$BA6=""),1,IF('All Data'!$G38=$BA6,1,0))</f>
        <v>0</v>
      </c>
      <c r="G38">
        <f>IF(AND(OR($BA$8="",ISNUMBER(SEARCH($BA$8,'All Data'!$K38&amp;" "&amp;'All Data'!$M38))),OR($BA$9="",ISNUMBER(SEARCH($BA$9,'All Data'!$K38&amp;" "&amp;'All Data'!$M38))),OR($BA$10="",ISNUMBER(SEARCH($BA$10,'All Data'!$K38&amp;" "&amp;'All Data'!$M38))),OR($BA$11="",ISNUMBER(SEARCH($BA$11,'All Data'!$K38&amp;" "&amp;'All Data'!$M38))),OR($BA$12="",ISNUMBER(SEARCH($BA$12,'All Data'!$K38&amp;" "&amp;'All Data'!$M38))),OR($BA$13="",ISNUMBER(SEARCH($BA$13,'All Data'!$K38&amp;" "&amp;'All Data'!$M38))),OR($BA$14="",ISNUMBER(SEARCH($BA$14,'All Data'!$K38&amp;" "&amp;'All Data'!$M38))),OR($BA$15="",ISNUMBER(SEARCH($BA$15,'All Data'!$K38&amp;" "&amp;'All Data'!$M38)))),1,0)</f>
        <v>1</v>
      </c>
      <c r="H38">
        <f t="shared" si="0"/>
        <v>1</v>
      </c>
      <c r="I38">
        <f>IF(AND($H38=1,'All Data'!$C38&lt;&gt;"",COUNTIFS($H$2:H37,1,'All Data'!$C$2:$C37,'All Data'!$C38)=0),1,0)</f>
        <v>0</v>
      </c>
      <c r="J38" t="str">
        <f>IF($I38=1,SUM($I$2:I38),"")</f>
        <v/>
      </c>
      <c r="K38">
        <f t="shared" si="1"/>
        <v>1</v>
      </c>
      <c r="L38">
        <f>IF(AND($K38=1,'All Data'!$D38&lt;&gt;"",COUNTIFS($K$2:K37,1,'All Data'!$D$2:$D37,'All Data'!$D38)=0),1,0)</f>
        <v>0</v>
      </c>
      <c r="M38" t="str">
        <f>IF($L38=1,SUM($L$2:L38),"")</f>
        <v/>
      </c>
      <c r="N38">
        <f t="shared" si="2"/>
        <v>1</v>
      </c>
      <c r="O38">
        <f>IF(AND($N38=1,'All Data'!$E38&lt;&gt;"",COUNTIFS($N$2:N37,1,'All Data'!$E$2:$E37,'All Data'!$E38)=0),1,0)</f>
        <v>0</v>
      </c>
      <c r="P38" t="str">
        <f>IF($O38=1,SUM($O$2:O38),"")</f>
        <v/>
      </c>
      <c r="Q38">
        <f t="shared" si="3"/>
        <v>1</v>
      </c>
      <c r="R38">
        <f>IF(AND($Q38=1,'All Data'!$F38&lt;&gt;"",COUNTIFS($Q$2:Q37,1,'All Data'!$F$2:$F37,'All Data'!$F38)=0),1,0)</f>
        <v>0</v>
      </c>
      <c r="S38" t="str">
        <f>IF($R38=1,SUM($R$2:R38),"")</f>
        <v/>
      </c>
      <c r="T38">
        <f t="shared" si="4"/>
        <v>1</v>
      </c>
      <c r="U38">
        <f>IF(AND($T38=1,'All Data'!$G38&lt;&gt;"",COUNTIFS($T$2:T37,1,'All Data'!$G$2:$G37,'All Data'!$G38)=0),1,0)</f>
        <v>0</v>
      </c>
      <c r="V38" t="str">
        <f>IF($U38=1,SUM($U$2:U38),"")</f>
        <v/>
      </c>
      <c r="W38">
        <f t="shared" si="5"/>
        <v>0</v>
      </c>
      <c r="X38" t="str">
        <f>IF($W38=1,SUM($W$2:W38),"")</f>
        <v/>
      </c>
      <c r="Z38" t="str">
        <f>IFERROR(INDEX('All Data'!$C$2:$C$419,MATCH(36,$J$2:$J$419,0))&amp;"","")</f>
        <v/>
      </c>
      <c r="AB38" t="str">
        <f>IFERROR(INDEX('All Data'!$D$2:$D$419,MATCH(36,$M$2:$M$419,0))&amp;"","")</f>
        <v>Steel frame wall-75mm exp. polystyrene</v>
      </c>
      <c r="AD38" t="str">
        <f>IFERROR(INDEX('All Data'!$E$2:$E$419,MATCH(36,$P$2:$P$419,0))&amp;"","")</f>
        <v/>
      </c>
      <c r="AF38" t="str">
        <f>IFERROR(INDEX('All Data'!$F$2:$F$419,MATCH(36,$S$2:$S$419,0))&amp;"","")</f>
        <v/>
      </c>
      <c r="AH38" t="str">
        <f>IFERROR(INDEX('All Data'!$G$2:$G$419,MATCH(36,$V$2:$V$419,0))&amp;"","")</f>
        <v>75mm phenolic foam</v>
      </c>
    </row>
    <row r="39" spans="1:34" x14ac:dyDescent="0.3">
      <c r="A39">
        <f>IF(OR($BA1="Any",$BA1=""),1,IF('All Data'!$B39=$BA1,1,0))</f>
        <v>1</v>
      </c>
      <c r="B39">
        <f>IF(OR($BA2="Any",$BA2=""),1,IF('All Data'!$C39=$BA2,1,0))</f>
        <v>1</v>
      </c>
      <c r="C39">
        <f>IF(OR($BA3="Any",$BA3=""),1,IF('All Data'!$D39=$BA3,1,0))</f>
        <v>1</v>
      </c>
      <c r="D39">
        <f>IF(OR($BA4="Any",$BA4=""),1,IF('All Data'!$E39=$BA4,1,0))</f>
        <v>1</v>
      </c>
      <c r="E39">
        <f>IF(OR($BA5="Any",$BA5=""),1,IF('All Data'!$F39=$BA5,1,0))</f>
        <v>1</v>
      </c>
      <c r="F39">
        <f>IF(OR($BA6="Any",$BA6=""),1,IF('All Data'!$G39=$BA6,1,0))</f>
        <v>0</v>
      </c>
      <c r="G39">
        <f>IF(AND(OR($BA$8="",ISNUMBER(SEARCH($BA$8,'All Data'!$K39&amp;" "&amp;'All Data'!$M39))),OR($BA$9="",ISNUMBER(SEARCH($BA$9,'All Data'!$K39&amp;" "&amp;'All Data'!$M39))),OR($BA$10="",ISNUMBER(SEARCH($BA$10,'All Data'!$K39&amp;" "&amp;'All Data'!$M39))),OR($BA$11="",ISNUMBER(SEARCH($BA$11,'All Data'!$K39&amp;" "&amp;'All Data'!$M39))),OR($BA$12="",ISNUMBER(SEARCH($BA$12,'All Data'!$K39&amp;" "&amp;'All Data'!$M39))),OR($BA$13="",ISNUMBER(SEARCH($BA$13,'All Data'!$K39&amp;" "&amp;'All Data'!$M39))),OR($BA$14="",ISNUMBER(SEARCH($BA$14,'All Data'!$K39&amp;" "&amp;'All Data'!$M39))),OR($BA$15="",ISNUMBER(SEARCH($BA$15,'All Data'!$K39&amp;" "&amp;'All Data'!$M39)))),1,0)</f>
        <v>1</v>
      </c>
      <c r="H39">
        <f t="shared" si="0"/>
        <v>1</v>
      </c>
      <c r="I39">
        <f>IF(AND($H39=1,'All Data'!$C39&lt;&gt;"",COUNTIFS($H$2:H38,1,'All Data'!$C$2:$C38,'All Data'!$C39)=0),1,0)</f>
        <v>0</v>
      </c>
      <c r="J39" t="str">
        <f>IF($I39=1,SUM($I$2:I39),"")</f>
        <v/>
      </c>
      <c r="K39">
        <f t="shared" si="1"/>
        <v>1</v>
      </c>
      <c r="L39">
        <f>IF(AND($K39=1,'All Data'!$D39&lt;&gt;"",COUNTIFS($K$2:K38,1,'All Data'!$D$2:$D38,'All Data'!$D39)=0),1,0)</f>
        <v>0</v>
      </c>
      <c r="M39" t="str">
        <f>IF($L39=1,SUM($L$2:L39),"")</f>
        <v/>
      </c>
      <c r="N39">
        <f t="shared" si="2"/>
        <v>1</v>
      </c>
      <c r="O39">
        <f>IF(AND($N39=1,'All Data'!$E39&lt;&gt;"",COUNTIFS($N$2:N38,1,'All Data'!$E$2:$E38,'All Data'!$E39)=0),1,0)</f>
        <v>0</v>
      </c>
      <c r="P39" t="str">
        <f>IF($O39=1,SUM($O$2:O39),"")</f>
        <v/>
      </c>
      <c r="Q39">
        <f t="shared" si="3"/>
        <v>1</v>
      </c>
      <c r="R39">
        <f>IF(AND($Q39=1,'All Data'!$F39&lt;&gt;"",COUNTIFS($Q$2:Q38,1,'All Data'!$F$2:$F38,'All Data'!$F39)=0),1,0)</f>
        <v>0</v>
      </c>
      <c r="S39" t="str">
        <f>IF($R39=1,SUM($R$2:R39),"")</f>
        <v/>
      </c>
      <c r="T39">
        <f t="shared" si="4"/>
        <v>1</v>
      </c>
      <c r="U39">
        <f>IF(AND($T39=1,'All Data'!$G39&lt;&gt;"",COUNTIFS($T$2:T38,1,'All Data'!$G$2:$G38,'All Data'!$G39)=0),1,0)</f>
        <v>1</v>
      </c>
      <c r="V39">
        <f>IF($U39=1,SUM($U$2:U39),"")</f>
        <v>21</v>
      </c>
      <c r="W39">
        <f t="shared" si="5"/>
        <v>0</v>
      </c>
      <c r="X39" t="str">
        <f>IF($W39=1,SUM($W$2:W39),"")</f>
        <v/>
      </c>
      <c r="Z39" t="str">
        <f>IFERROR(INDEX('All Data'!$C$2:$C$419,MATCH(37,$J$2:$J$419,0))&amp;"","")</f>
        <v/>
      </c>
      <c r="AB39" t="str">
        <f>IFERROR(INDEX('All Data'!$D$2:$D$419,MATCH(37,$M$2:$M$419,0))&amp;"","")</f>
        <v>Steel frame wall-75mm polyurethane</v>
      </c>
      <c r="AD39" t="str">
        <f>IFERROR(INDEX('All Data'!$E$2:$E$419,MATCH(37,$P$2:$P$419,0))&amp;"","")</f>
        <v/>
      </c>
      <c r="AF39" t="str">
        <f>IFERROR(INDEX('All Data'!$F$2:$F$419,MATCH(37,$S$2:$S$419,0))&amp;"","")</f>
        <v/>
      </c>
      <c r="AH39" t="str">
        <f>IFERROR(INDEX('All Data'!$G$2:$G$419,MATCH(37,$V$2:$V$419,0))&amp;"","")</f>
        <v>75mm polyurethane</v>
      </c>
    </row>
    <row r="40" spans="1:34" x14ac:dyDescent="0.3">
      <c r="A40">
        <f>IF(OR($BA1="Any",$BA1=""),1,IF('All Data'!$B40=$BA1,1,0))</f>
        <v>1</v>
      </c>
      <c r="B40">
        <f>IF(OR($BA2="Any",$BA2=""),1,IF('All Data'!$C40=$BA2,1,0))</f>
        <v>1</v>
      </c>
      <c r="C40">
        <f>IF(OR($BA3="Any",$BA3=""),1,IF('All Data'!$D40=$BA3,1,0))</f>
        <v>1</v>
      </c>
      <c r="D40">
        <f>IF(OR($BA4="Any",$BA4=""),1,IF('All Data'!$E40=$BA4,1,0))</f>
        <v>1</v>
      </c>
      <c r="E40">
        <f>IF(OR($BA5="Any",$BA5=""),1,IF('All Data'!$F40=$BA5,1,0))</f>
        <v>1</v>
      </c>
      <c r="F40">
        <f>IF(OR($BA6="Any",$BA6=""),1,IF('All Data'!$G40=$BA6,1,0))</f>
        <v>0</v>
      </c>
      <c r="G40">
        <f>IF(AND(OR($BA$8="",ISNUMBER(SEARCH($BA$8,'All Data'!$K40&amp;" "&amp;'All Data'!$M40))),OR($BA$9="",ISNUMBER(SEARCH($BA$9,'All Data'!$K40&amp;" "&amp;'All Data'!$M40))),OR($BA$10="",ISNUMBER(SEARCH($BA$10,'All Data'!$K40&amp;" "&amp;'All Data'!$M40))),OR($BA$11="",ISNUMBER(SEARCH($BA$11,'All Data'!$K40&amp;" "&amp;'All Data'!$M40))),OR($BA$12="",ISNUMBER(SEARCH($BA$12,'All Data'!$K40&amp;" "&amp;'All Data'!$M40))),OR($BA$13="",ISNUMBER(SEARCH($BA$13,'All Data'!$K40&amp;" "&amp;'All Data'!$M40))),OR($BA$14="",ISNUMBER(SEARCH($BA$14,'All Data'!$K40&amp;" "&amp;'All Data'!$M40))),OR($BA$15="",ISNUMBER(SEARCH($BA$15,'All Data'!$K40&amp;" "&amp;'All Data'!$M40)))),1,0)</f>
        <v>1</v>
      </c>
      <c r="H40">
        <f t="shared" si="0"/>
        <v>1</v>
      </c>
      <c r="I40">
        <f>IF(AND($H40=1,'All Data'!$C40&lt;&gt;"",COUNTIFS($H$2:H39,1,'All Data'!$C$2:$C39,'All Data'!$C40)=0),1,0)</f>
        <v>0</v>
      </c>
      <c r="J40" t="str">
        <f>IF($I40=1,SUM($I$2:I40),"")</f>
        <v/>
      </c>
      <c r="K40">
        <f t="shared" si="1"/>
        <v>1</v>
      </c>
      <c r="L40">
        <f>IF(AND($K40=1,'All Data'!$D40&lt;&gt;"",COUNTIFS($K$2:K39,1,'All Data'!$D$2:$D39,'All Data'!$D40)=0),1,0)</f>
        <v>0</v>
      </c>
      <c r="M40" t="str">
        <f>IF($L40=1,SUM($L$2:L40),"")</f>
        <v/>
      </c>
      <c r="N40">
        <f t="shared" si="2"/>
        <v>1</v>
      </c>
      <c r="O40">
        <f>IF(AND($N40=1,'All Data'!$E40&lt;&gt;"",COUNTIFS($N$2:N39,1,'All Data'!$E$2:$E39,'All Data'!$E40)=0),1,0)</f>
        <v>0</v>
      </c>
      <c r="P40" t="str">
        <f>IF($O40=1,SUM($O$2:O40),"")</f>
        <v/>
      </c>
      <c r="Q40">
        <f t="shared" si="3"/>
        <v>1</v>
      </c>
      <c r="R40">
        <f>IF(AND($Q40=1,'All Data'!$F40&lt;&gt;"",COUNTIFS($Q$2:Q39,1,'All Data'!$F$2:$F39,'All Data'!$F40)=0),1,0)</f>
        <v>0</v>
      </c>
      <c r="S40" t="str">
        <f>IF($R40=1,SUM($R$2:R40),"")</f>
        <v/>
      </c>
      <c r="T40">
        <f t="shared" si="4"/>
        <v>1</v>
      </c>
      <c r="U40">
        <f>IF(AND($T40=1,'All Data'!$G40&lt;&gt;"",COUNTIFS($T$2:T39,1,'All Data'!$G$2:$G39,'All Data'!$G40)=0),1,0)</f>
        <v>0</v>
      </c>
      <c r="V40" t="str">
        <f>IF($U40=1,SUM($U$2:U40),"")</f>
        <v/>
      </c>
      <c r="W40">
        <f t="shared" si="5"/>
        <v>0</v>
      </c>
      <c r="X40" t="str">
        <f>IF($W40=1,SUM($W$2:W40),"")</f>
        <v/>
      </c>
      <c r="Z40" t="str">
        <f>IFERROR(INDEX('All Data'!$C$2:$C$419,MATCH(38,$J$2:$J$419,0))&amp;"","")</f>
        <v/>
      </c>
      <c r="AB40" t="str">
        <f>IFERROR(INDEX('All Data'!$D$2:$D$419,MATCH(38,$M$2:$M$419,0))&amp;"","")</f>
        <v/>
      </c>
      <c r="AD40" t="str">
        <f>IFERROR(INDEX('All Data'!$E$2:$E$419,MATCH(38,$P$2:$P$419,0))&amp;"","")</f>
        <v/>
      </c>
      <c r="AF40" t="str">
        <f>IFERROR(INDEX('All Data'!$F$2:$F$419,MATCH(38,$S$2:$S$419,0))&amp;"","")</f>
        <v/>
      </c>
      <c r="AH40" t="str">
        <f>IFERROR(INDEX('All Data'!$G$2:$G$419,MATCH(38,$V$2:$V$419,0))&amp;"","")</f>
        <v>No insulation</v>
      </c>
    </row>
    <row r="41" spans="1:34" x14ac:dyDescent="0.3">
      <c r="A41">
        <f>IF(OR($BA1="Any",$BA1=""),1,IF('All Data'!$B41=$BA1,1,0))</f>
        <v>1</v>
      </c>
      <c r="B41">
        <f>IF(OR($BA2="Any",$BA2=""),1,IF('All Data'!$C41=$BA2,1,0))</f>
        <v>1</v>
      </c>
      <c r="C41">
        <f>IF(OR($BA3="Any",$BA3=""),1,IF('All Data'!$D41=$BA3,1,0))</f>
        <v>1</v>
      </c>
      <c r="D41">
        <f>IF(OR($BA4="Any",$BA4=""),1,IF('All Data'!$E41=$BA4,1,0))</f>
        <v>1</v>
      </c>
      <c r="E41">
        <f>IF(OR($BA5="Any",$BA5=""),1,IF('All Data'!$F41=$BA5,1,0))</f>
        <v>1</v>
      </c>
      <c r="F41">
        <f>IF(OR($BA6="Any",$BA6=""),1,IF('All Data'!$G41=$BA6,1,0))</f>
        <v>0</v>
      </c>
      <c r="G41">
        <f>IF(AND(OR($BA$8="",ISNUMBER(SEARCH($BA$8,'All Data'!$K41&amp;" "&amp;'All Data'!$M41))),OR($BA$9="",ISNUMBER(SEARCH($BA$9,'All Data'!$K41&amp;" "&amp;'All Data'!$M41))),OR($BA$10="",ISNUMBER(SEARCH($BA$10,'All Data'!$K41&amp;" "&amp;'All Data'!$M41))),OR($BA$11="",ISNUMBER(SEARCH($BA$11,'All Data'!$K41&amp;" "&amp;'All Data'!$M41))),OR($BA$12="",ISNUMBER(SEARCH($BA$12,'All Data'!$K41&amp;" "&amp;'All Data'!$M41))),OR($BA$13="",ISNUMBER(SEARCH($BA$13,'All Data'!$K41&amp;" "&amp;'All Data'!$M41))),OR($BA$14="",ISNUMBER(SEARCH($BA$14,'All Data'!$K41&amp;" "&amp;'All Data'!$M41))),OR($BA$15="",ISNUMBER(SEARCH($BA$15,'All Data'!$K41&amp;" "&amp;'All Data'!$M41)))),1,0)</f>
        <v>1</v>
      </c>
      <c r="H41">
        <f t="shared" si="0"/>
        <v>1</v>
      </c>
      <c r="I41">
        <f>IF(AND($H41=1,'All Data'!$C41&lt;&gt;"",COUNTIFS($H$2:H40,1,'All Data'!$C$2:$C40,'All Data'!$C41)=0),1,0)</f>
        <v>1</v>
      </c>
      <c r="J41">
        <f>IF($I41=1,SUM($I$2:I41),"")</f>
        <v>2</v>
      </c>
      <c r="K41">
        <f t="shared" si="1"/>
        <v>1</v>
      </c>
      <c r="L41">
        <f>IF(AND($K41=1,'All Data'!$D41&lt;&gt;"",COUNTIFS($K$2:K40,1,'All Data'!$D$2:$D40,'All Data'!$D41)=0),1,0)</f>
        <v>1</v>
      </c>
      <c r="M41">
        <f>IF($L41=1,SUM($L$2:L41),"")</f>
        <v>14</v>
      </c>
      <c r="N41">
        <f t="shared" si="2"/>
        <v>1</v>
      </c>
      <c r="O41">
        <f>IF(AND($N41=1,'All Data'!$E41&lt;&gt;"",COUNTIFS($N$2:N40,1,'All Data'!$E$2:$E40,'All Data'!$E41)=0),1,0)</f>
        <v>0</v>
      </c>
      <c r="P41" t="str">
        <f>IF($O41=1,SUM($O$2:O41),"")</f>
        <v/>
      </c>
      <c r="Q41">
        <f t="shared" si="3"/>
        <v>1</v>
      </c>
      <c r="R41">
        <f>IF(AND($Q41=1,'All Data'!$F41&lt;&gt;"",COUNTIFS($Q$2:Q40,1,'All Data'!$F$2:$F40,'All Data'!$F41)=0),1,0)</f>
        <v>0</v>
      </c>
      <c r="S41" t="str">
        <f>IF($R41=1,SUM($R$2:R41),"")</f>
        <v/>
      </c>
      <c r="T41">
        <f t="shared" si="4"/>
        <v>1</v>
      </c>
      <c r="U41">
        <f>IF(AND($T41=1,'All Data'!$G41&lt;&gt;"",COUNTIFS($T$2:T40,1,'All Data'!$G$2:$G40,'All Data'!$G41)=0),1,0)</f>
        <v>1</v>
      </c>
      <c r="V41">
        <f>IF($U41=1,SUM($U$2:U41),"")</f>
        <v>22</v>
      </c>
      <c r="W41">
        <f t="shared" si="5"/>
        <v>0</v>
      </c>
      <c r="X41" t="str">
        <f>IF($W41=1,SUM($W$2:W41),"")</f>
        <v/>
      </c>
      <c r="Z41" t="str">
        <f>IFERROR(INDEX('All Data'!$C$2:$C$419,MATCH(39,$J$2:$J$419,0))&amp;"","")</f>
        <v/>
      </c>
      <c r="AB41" t="str">
        <f>IFERROR(INDEX('All Data'!$D$2:$D$419,MATCH(39,$M$2:$M$419,0))&amp;"","")</f>
        <v/>
      </c>
      <c r="AD41" t="str">
        <f>IFERROR(INDEX('All Data'!$E$2:$E$419,MATCH(39,$P$2:$P$419,0))&amp;"","")</f>
        <v/>
      </c>
      <c r="AF41" t="str">
        <f>IFERROR(INDEX('All Data'!$F$2:$F$419,MATCH(39,$S$2:$S$419,0))&amp;"","")</f>
        <v/>
      </c>
      <c r="AH41" t="str">
        <f>IFERROR(INDEX('All Data'!$G$2:$G$419,MATCH(39,$V$2:$V$419,0))&amp;"","")</f>
        <v>Pre-1980</v>
      </c>
    </row>
    <row r="42" spans="1:34" x14ac:dyDescent="0.3">
      <c r="A42">
        <f>IF(OR($BA1="Any",$BA1=""),1,IF('All Data'!$B42=$BA1,1,0))</f>
        <v>1</v>
      </c>
      <c r="B42">
        <f>IF(OR($BA2="Any",$BA2=""),1,IF('All Data'!$C42=$BA2,1,0))</f>
        <v>1</v>
      </c>
      <c r="C42">
        <f>IF(OR($BA3="Any",$BA3=""),1,IF('All Data'!$D42=$BA3,1,0))</f>
        <v>1</v>
      </c>
      <c r="D42">
        <f>IF(OR($BA4="Any",$BA4=""),1,IF('All Data'!$E42=$BA4,1,0))</f>
        <v>1</v>
      </c>
      <c r="E42">
        <f>IF(OR($BA5="Any",$BA5=""),1,IF('All Data'!$F42=$BA5,1,0))</f>
        <v>1</v>
      </c>
      <c r="F42">
        <f>IF(OR($BA6="Any",$BA6=""),1,IF('All Data'!$G42=$BA6,1,0))</f>
        <v>0</v>
      </c>
      <c r="G42">
        <f>IF(AND(OR($BA$8="",ISNUMBER(SEARCH($BA$8,'All Data'!$K42&amp;" "&amp;'All Data'!$M42))),OR($BA$9="",ISNUMBER(SEARCH($BA$9,'All Data'!$K42&amp;" "&amp;'All Data'!$M42))),OR($BA$10="",ISNUMBER(SEARCH($BA$10,'All Data'!$K42&amp;" "&amp;'All Data'!$M42))),OR($BA$11="",ISNUMBER(SEARCH($BA$11,'All Data'!$K42&amp;" "&amp;'All Data'!$M42))),OR($BA$12="",ISNUMBER(SEARCH($BA$12,'All Data'!$K42&amp;" "&amp;'All Data'!$M42))),OR($BA$13="",ISNUMBER(SEARCH($BA$13,'All Data'!$K42&amp;" "&amp;'All Data'!$M42))),OR($BA$14="",ISNUMBER(SEARCH($BA$14,'All Data'!$K42&amp;" "&amp;'All Data'!$M42))),OR($BA$15="",ISNUMBER(SEARCH($BA$15,'All Data'!$K42&amp;" "&amp;'All Data'!$M42)))),1,0)</f>
        <v>1</v>
      </c>
      <c r="H42">
        <f t="shared" si="0"/>
        <v>1</v>
      </c>
      <c r="I42">
        <f>IF(AND($H42=1,'All Data'!$C42&lt;&gt;"",COUNTIFS($H$2:H41,1,'All Data'!$C$2:$C41,'All Data'!$C42)=0),1,0)</f>
        <v>0</v>
      </c>
      <c r="J42" t="str">
        <f>IF($I42=1,SUM($I$2:I42),"")</f>
        <v/>
      </c>
      <c r="K42">
        <f t="shared" si="1"/>
        <v>1</v>
      </c>
      <c r="L42">
        <f>IF(AND($K42=1,'All Data'!$D42&lt;&gt;"",COUNTIFS($K$2:K41,1,'All Data'!$D$2:$D41,'All Data'!$D42)=0),1,0)</f>
        <v>0</v>
      </c>
      <c r="M42" t="str">
        <f>IF($L42=1,SUM($L$2:L42),"")</f>
        <v/>
      </c>
      <c r="N42">
        <f t="shared" si="2"/>
        <v>1</v>
      </c>
      <c r="O42">
        <f>IF(AND($N42=1,'All Data'!$E42&lt;&gt;"",COUNTIFS($N$2:N41,1,'All Data'!$E$2:$E41,'All Data'!$E42)=0),1,0)</f>
        <v>0</v>
      </c>
      <c r="P42" t="str">
        <f>IF($O42=1,SUM($O$2:O42),"")</f>
        <v/>
      </c>
      <c r="Q42">
        <f t="shared" si="3"/>
        <v>1</v>
      </c>
      <c r="R42">
        <f>IF(AND($Q42=1,'All Data'!$F42&lt;&gt;"",COUNTIFS($Q$2:Q41,1,'All Data'!$F$2:$F41,'All Data'!$F42)=0),1,0)</f>
        <v>0</v>
      </c>
      <c r="S42" t="str">
        <f>IF($R42=1,SUM($R$2:R42),"")</f>
        <v/>
      </c>
      <c r="T42">
        <f t="shared" si="4"/>
        <v>1</v>
      </c>
      <c r="U42">
        <f>IF(AND($T42=1,'All Data'!$G42&lt;&gt;"",COUNTIFS($T$2:T41,1,'All Data'!$G$2:$G41,'All Data'!$G42)=0),1,0)</f>
        <v>0</v>
      </c>
      <c r="V42" t="str">
        <f>IF($U42=1,SUM($U$2:U42),"")</f>
        <v/>
      </c>
      <c r="W42">
        <f t="shared" si="5"/>
        <v>0</v>
      </c>
      <c r="X42" t="str">
        <f>IF($W42=1,SUM($W$2:W42),"")</f>
        <v/>
      </c>
      <c r="Z42" t="str">
        <f>IFERROR(INDEX('All Data'!$C$2:$C$419,MATCH(40,$J$2:$J$419,0))&amp;"","")</f>
        <v/>
      </c>
      <c r="AB42" t="str">
        <f>IFERROR(INDEX('All Data'!$D$2:$D$419,MATCH(40,$M$2:$M$419,0))&amp;"","")</f>
        <v/>
      </c>
      <c r="AD42" t="str">
        <f>IFERROR(INDEX('All Data'!$E$2:$E$419,MATCH(40,$P$2:$P$419,0))&amp;"","")</f>
        <v/>
      </c>
      <c r="AF42" t="str">
        <f>IFERROR(INDEX('All Data'!$F$2:$F$419,MATCH(40,$S$2:$S$419,0))&amp;"","")</f>
        <v/>
      </c>
      <c r="AH42" t="str">
        <f>IFERROR(INDEX('All Data'!$G$2:$G$419,MATCH(40,$V$2:$V$419,0))&amp;"","")</f>
        <v>1990/95</v>
      </c>
    </row>
    <row r="43" spans="1:34" x14ac:dyDescent="0.3">
      <c r="A43">
        <f>IF(OR($BA1="Any",$BA1=""),1,IF('All Data'!$B43=$BA1,1,0))</f>
        <v>1</v>
      </c>
      <c r="B43">
        <f>IF(OR($BA2="Any",$BA2=""),1,IF('All Data'!$C43=$BA2,1,0))</f>
        <v>1</v>
      </c>
      <c r="C43">
        <f>IF(OR($BA3="Any",$BA3=""),1,IF('All Data'!$D43=$BA3,1,0))</f>
        <v>1</v>
      </c>
      <c r="D43">
        <f>IF(OR($BA4="Any",$BA4=""),1,IF('All Data'!$E43=$BA4,1,0))</f>
        <v>1</v>
      </c>
      <c r="E43">
        <f>IF(OR($BA5="Any",$BA5=""),1,IF('All Data'!$F43=$BA5,1,0))</f>
        <v>1</v>
      </c>
      <c r="F43">
        <f>IF(OR($BA6="Any",$BA6=""),1,IF('All Data'!$G43=$BA6,1,0))</f>
        <v>0</v>
      </c>
      <c r="G43">
        <f>IF(AND(OR($BA$8="",ISNUMBER(SEARCH($BA$8,'All Data'!$K43&amp;" "&amp;'All Data'!$M43))),OR($BA$9="",ISNUMBER(SEARCH($BA$9,'All Data'!$K43&amp;" "&amp;'All Data'!$M43))),OR($BA$10="",ISNUMBER(SEARCH($BA$10,'All Data'!$K43&amp;" "&amp;'All Data'!$M43))),OR($BA$11="",ISNUMBER(SEARCH($BA$11,'All Data'!$K43&amp;" "&amp;'All Data'!$M43))),OR($BA$12="",ISNUMBER(SEARCH($BA$12,'All Data'!$K43&amp;" "&amp;'All Data'!$M43))),OR($BA$13="",ISNUMBER(SEARCH($BA$13,'All Data'!$K43&amp;" "&amp;'All Data'!$M43))),OR($BA$14="",ISNUMBER(SEARCH($BA$14,'All Data'!$K43&amp;" "&amp;'All Data'!$M43))),OR($BA$15="",ISNUMBER(SEARCH($BA$15,'All Data'!$K43&amp;" "&amp;'All Data'!$M43)))),1,0)</f>
        <v>1</v>
      </c>
      <c r="H43">
        <f t="shared" si="0"/>
        <v>1</v>
      </c>
      <c r="I43">
        <f>IF(AND($H43=1,'All Data'!$C43&lt;&gt;"",COUNTIFS($H$2:H42,1,'All Data'!$C$2:$C42,'All Data'!$C43)=0),1,0)</f>
        <v>0</v>
      </c>
      <c r="J43" t="str">
        <f>IF($I43=1,SUM($I$2:I43),"")</f>
        <v/>
      </c>
      <c r="K43">
        <f t="shared" si="1"/>
        <v>1</v>
      </c>
      <c r="L43">
        <f>IF(AND($K43=1,'All Data'!$D43&lt;&gt;"",COUNTIFS($K$2:K42,1,'All Data'!$D$2:$D42,'All Data'!$D43)=0),1,0)</f>
        <v>0</v>
      </c>
      <c r="M43" t="str">
        <f>IF($L43=1,SUM($L$2:L43),"")</f>
        <v/>
      </c>
      <c r="N43">
        <f t="shared" si="2"/>
        <v>1</v>
      </c>
      <c r="O43">
        <f>IF(AND($N43=1,'All Data'!$E43&lt;&gt;"",COUNTIFS($N$2:N42,1,'All Data'!$E$2:$E42,'All Data'!$E43)=0),1,0)</f>
        <v>0</v>
      </c>
      <c r="P43" t="str">
        <f>IF($O43=1,SUM($O$2:O43),"")</f>
        <v/>
      </c>
      <c r="Q43">
        <f t="shared" si="3"/>
        <v>1</v>
      </c>
      <c r="R43">
        <f>IF(AND($Q43=1,'All Data'!$F43&lt;&gt;"",COUNTIFS($Q$2:Q42,1,'All Data'!$F$2:$F42,'All Data'!$F43)=0),1,0)</f>
        <v>0</v>
      </c>
      <c r="S43" t="str">
        <f>IF($R43=1,SUM($R$2:R43),"")</f>
        <v/>
      </c>
      <c r="T43">
        <f t="shared" si="4"/>
        <v>1</v>
      </c>
      <c r="U43">
        <f>IF(AND($T43=1,'All Data'!$G43&lt;&gt;"",COUNTIFS($T$2:T42,1,'All Data'!$G$2:$G42,'All Data'!$G43)=0),1,0)</f>
        <v>1</v>
      </c>
      <c r="V43">
        <f>IF($U43=1,SUM($U$2:U43),"")</f>
        <v>23</v>
      </c>
      <c r="W43">
        <f t="shared" si="5"/>
        <v>0</v>
      </c>
      <c r="X43" t="str">
        <f>IF($W43=1,SUM($W$2:W43),"")</f>
        <v/>
      </c>
      <c r="Z43" t="str">
        <f>IFERROR(INDEX('All Data'!$C$2:$C$419,MATCH(41,$J$2:$J$419,0))&amp;"","")</f>
        <v/>
      </c>
      <c r="AB43" t="str">
        <f>IFERROR(INDEX('All Data'!$D$2:$D$419,MATCH(41,$M$2:$M$419,0))&amp;"","")</f>
        <v/>
      </c>
      <c r="AD43" t="str">
        <f>IFERROR(INDEX('All Data'!$E$2:$E$419,MATCH(41,$P$2:$P$419,0))&amp;"","")</f>
        <v/>
      </c>
      <c r="AF43" t="str">
        <f>IFERROR(INDEX('All Data'!$F$2:$F$419,MATCH(41,$S$2:$S$419,0))&amp;"","")</f>
        <v/>
      </c>
      <c r="AH43" t="str">
        <f>IFERROR(INDEX('All Data'!$G$2:$G$419,MATCH(41,$V$2:$V$419,0))&amp;"","")</f>
        <v>Pre-1981</v>
      </c>
    </row>
    <row r="44" spans="1:34" x14ac:dyDescent="0.3">
      <c r="A44">
        <f>IF(OR($BA1="Any",$BA1=""),1,IF('All Data'!$B44=$BA1,1,0))</f>
        <v>1</v>
      </c>
      <c r="B44">
        <f>IF(OR($BA2="Any",$BA2=""),1,IF('All Data'!$C44=$BA2,1,0))</f>
        <v>1</v>
      </c>
      <c r="C44">
        <f>IF(OR($BA3="Any",$BA3=""),1,IF('All Data'!$D44=$BA3,1,0))</f>
        <v>1</v>
      </c>
      <c r="D44">
        <f>IF(OR($BA4="Any",$BA4=""),1,IF('All Data'!$E44=$BA4,1,0))</f>
        <v>1</v>
      </c>
      <c r="E44">
        <f>IF(OR($BA5="Any",$BA5=""),1,IF('All Data'!$F44=$BA5,1,0))</f>
        <v>1</v>
      </c>
      <c r="F44">
        <f>IF(OR($BA6="Any",$BA6=""),1,IF('All Data'!$G44=$BA6,1,0))</f>
        <v>0</v>
      </c>
      <c r="G44">
        <f>IF(AND(OR($BA$8="",ISNUMBER(SEARCH($BA$8,'All Data'!$K44&amp;" "&amp;'All Data'!$M44))),OR($BA$9="",ISNUMBER(SEARCH($BA$9,'All Data'!$K44&amp;" "&amp;'All Data'!$M44))),OR($BA$10="",ISNUMBER(SEARCH($BA$10,'All Data'!$K44&amp;" "&amp;'All Data'!$M44))),OR($BA$11="",ISNUMBER(SEARCH($BA$11,'All Data'!$K44&amp;" "&amp;'All Data'!$M44))),OR($BA$12="",ISNUMBER(SEARCH($BA$12,'All Data'!$K44&amp;" "&amp;'All Data'!$M44))),OR($BA$13="",ISNUMBER(SEARCH($BA$13,'All Data'!$K44&amp;" "&amp;'All Data'!$M44))),OR($BA$14="",ISNUMBER(SEARCH($BA$14,'All Data'!$K44&amp;" "&amp;'All Data'!$M44))),OR($BA$15="",ISNUMBER(SEARCH($BA$15,'All Data'!$K44&amp;" "&amp;'All Data'!$M44)))),1,0)</f>
        <v>1</v>
      </c>
      <c r="H44">
        <f t="shared" si="0"/>
        <v>1</v>
      </c>
      <c r="I44">
        <f>IF(AND($H44=1,'All Data'!$C44&lt;&gt;"",COUNTIFS($H$2:H43,1,'All Data'!$C$2:$C43,'All Data'!$C44)=0),1,0)</f>
        <v>0</v>
      </c>
      <c r="J44" t="str">
        <f>IF($I44=1,SUM($I$2:I44),"")</f>
        <v/>
      </c>
      <c r="K44">
        <f t="shared" si="1"/>
        <v>1</v>
      </c>
      <c r="L44">
        <f>IF(AND($K44=1,'All Data'!$D44&lt;&gt;"",COUNTIFS($K$2:K43,1,'All Data'!$D$2:$D43,'All Data'!$D44)=0),1,0)</f>
        <v>0</v>
      </c>
      <c r="M44" t="str">
        <f>IF($L44=1,SUM($L$2:L44),"")</f>
        <v/>
      </c>
      <c r="N44">
        <f t="shared" si="2"/>
        <v>1</v>
      </c>
      <c r="O44">
        <f>IF(AND($N44=1,'All Data'!$E44&lt;&gt;"",COUNTIFS($N$2:N43,1,'All Data'!$E$2:$E43,'All Data'!$E44)=0),1,0)</f>
        <v>0</v>
      </c>
      <c r="P44" t="str">
        <f>IF($O44=1,SUM($O$2:O44),"")</f>
        <v/>
      </c>
      <c r="Q44">
        <f t="shared" si="3"/>
        <v>1</v>
      </c>
      <c r="R44">
        <f>IF(AND($Q44=1,'All Data'!$F44&lt;&gt;"",COUNTIFS($Q$2:Q43,1,'All Data'!$F$2:$F43,'All Data'!$F44)=0),1,0)</f>
        <v>0</v>
      </c>
      <c r="S44" t="str">
        <f>IF($R44=1,SUM($R$2:R44),"")</f>
        <v/>
      </c>
      <c r="T44">
        <f t="shared" si="4"/>
        <v>1</v>
      </c>
      <c r="U44">
        <f>IF(AND($T44=1,'All Data'!$G44&lt;&gt;"",COUNTIFS($T$2:T43,1,'All Data'!$G$2:$G43,'All Data'!$G44)=0),1,0)</f>
        <v>1</v>
      </c>
      <c r="V44">
        <f>IF($U44=1,SUM($U$2:U44),"")</f>
        <v>24</v>
      </c>
      <c r="W44">
        <f t="shared" si="5"/>
        <v>0</v>
      </c>
      <c r="X44" t="str">
        <f>IF($W44=1,SUM($W$2:W44),"")</f>
        <v/>
      </c>
      <c r="Z44" t="str">
        <f>IFERROR(INDEX('All Data'!$C$2:$C$419,MATCH(42,$J$2:$J$419,0))&amp;"","")</f>
        <v/>
      </c>
      <c r="AB44" t="str">
        <f>IFERROR(INDEX('All Data'!$D$2:$D$419,MATCH(42,$M$2:$M$419,0))&amp;"","")</f>
        <v/>
      </c>
      <c r="AD44" t="str">
        <f>IFERROR(INDEX('All Data'!$E$2:$E$419,MATCH(42,$P$2:$P$419,0))&amp;"","")</f>
        <v/>
      </c>
      <c r="AF44" t="str">
        <f>IFERROR(INDEX('All Data'!$F$2:$F$419,MATCH(42,$S$2:$S$419,0))&amp;"","")</f>
        <v/>
      </c>
      <c r="AH44" t="str">
        <f>IFERROR(INDEX('All Data'!$G$2:$G$419,MATCH(42,$V$2:$V$419,0))&amp;"","")</f>
        <v>25mm quilt</v>
      </c>
    </row>
    <row r="45" spans="1:34" x14ac:dyDescent="0.3">
      <c r="A45">
        <f>IF(OR($BA1="Any",$BA1=""),1,IF('All Data'!$B45=$BA1,1,0))</f>
        <v>1</v>
      </c>
      <c r="B45">
        <f>IF(OR($BA2="Any",$BA2=""),1,IF('All Data'!$C45=$BA2,1,0))</f>
        <v>1</v>
      </c>
      <c r="C45">
        <f>IF(OR($BA3="Any",$BA3=""),1,IF('All Data'!$D45=$BA3,1,0))</f>
        <v>1</v>
      </c>
      <c r="D45">
        <f>IF(OR($BA4="Any",$BA4=""),1,IF('All Data'!$E45=$BA4,1,0))</f>
        <v>1</v>
      </c>
      <c r="E45">
        <f>IF(OR($BA5="Any",$BA5=""),1,IF('All Data'!$F45=$BA5,1,0))</f>
        <v>1</v>
      </c>
      <c r="F45">
        <f>IF(OR($BA6="Any",$BA6=""),1,IF('All Data'!$G45=$BA6,1,0))</f>
        <v>0</v>
      </c>
      <c r="G45">
        <f>IF(AND(OR($BA$8="",ISNUMBER(SEARCH($BA$8,'All Data'!$K45&amp;" "&amp;'All Data'!$M45))),OR($BA$9="",ISNUMBER(SEARCH($BA$9,'All Data'!$K45&amp;" "&amp;'All Data'!$M45))),OR($BA$10="",ISNUMBER(SEARCH($BA$10,'All Data'!$K45&amp;" "&amp;'All Data'!$M45))),OR($BA$11="",ISNUMBER(SEARCH($BA$11,'All Data'!$K45&amp;" "&amp;'All Data'!$M45))),OR($BA$12="",ISNUMBER(SEARCH($BA$12,'All Data'!$K45&amp;" "&amp;'All Data'!$M45))),OR($BA$13="",ISNUMBER(SEARCH($BA$13,'All Data'!$K45&amp;" "&amp;'All Data'!$M45))),OR($BA$14="",ISNUMBER(SEARCH($BA$14,'All Data'!$K45&amp;" "&amp;'All Data'!$M45))),OR($BA$15="",ISNUMBER(SEARCH($BA$15,'All Data'!$K45&amp;" "&amp;'All Data'!$M45)))),1,0)</f>
        <v>1</v>
      </c>
      <c r="H45">
        <f t="shared" si="0"/>
        <v>1</v>
      </c>
      <c r="I45">
        <f>IF(AND($H45=1,'All Data'!$C45&lt;&gt;"",COUNTIFS($H$2:H44,1,'All Data'!$C$2:$C44,'All Data'!$C45)=0),1,0)</f>
        <v>0</v>
      </c>
      <c r="J45" t="str">
        <f>IF($I45=1,SUM($I$2:I45),"")</f>
        <v/>
      </c>
      <c r="K45">
        <f t="shared" si="1"/>
        <v>1</v>
      </c>
      <c r="L45">
        <f>IF(AND($K45=1,'All Data'!$D45&lt;&gt;"",COUNTIFS($K$2:K44,1,'All Data'!$D$2:$D44,'All Data'!$D45)=0),1,0)</f>
        <v>0</v>
      </c>
      <c r="M45" t="str">
        <f>IF($L45=1,SUM($L$2:L45),"")</f>
        <v/>
      </c>
      <c r="N45">
        <f t="shared" si="2"/>
        <v>1</v>
      </c>
      <c r="O45">
        <f>IF(AND($N45=1,'All Data'!$E45&lt;&gt;"",COUNTIFS($N$2:N44,1,'All Data'!$E$2:$E44,'All Data'!$E45)=0),1,0)</f>
        <v>0</v>
      </c>
      <c r="P45" t="str">
        <f>IF($O45=1,SUM($O$2:O45),"")</f>
        <v/>
      </c>
      <c r="Q45">
        <f t="shared" si="3"/>
        <v>1</v>
      </c>
      <c r="R45">
        <f>IF(AND($Q45=1,'All Data'!$F45&lt;&gt;"",COUNTIFS($Q$2:Q44,1,'All Data'!$F$2:$F44,'All Data'!$F45)=0),1,0)</f>
        <v>0</v>
      </c>
      <c r="S45" t="str">
        <f>IF($R45=1,SUM($R$2:R45),"")</f>
        <v/>
      </c>
      <c r="T45">
        <f t="shared" si="4"/>
        <v>1</v>
      </c>
      <c r="U45">
        <f>IF(AND($T45=1,'All Data'!$G45&lt;&gt;"",COUNTIFS($T$2:T44,1,'All Data'!$G$2:$G44,'All Data'!$G45)=0),1,0)</f>
        <v>1</v>
      </c>
      <c r="V45">
        <f>IF($U45=1,SUM($U$2:U45),"")</f>
        <v>25</v>
      </c>
      <c r="W45">
        <f t="shared" si="5"/>
        <v>0</v>
      </c>
      <c r="X45" t="str">
        <f>IF($W45=1,SUM($W$2:W45),"")</f>
        <v/>
      </c>
      <c r="Z45" t="str">
        <f>IFERROR(INDEX('All Data'!$C$2:$C$419,MATCH(43,$J$2:$J$419,0))&amp;"","")</f>
        <v/>
      </c>
      <c r="AB45" t="str">
        <f>IFERROR(INDEX('All Data'!$D$2:$D$419,MATCH(43,$M$2:$M$419,0))&amp;"","")</f>
        <v/>
      </c>
      <c r="AD45" t="str">
        <f>IFERROR(INDEX('All Data'!$E$2:$E$419,MATCH(43,$P$2:$P$419,0))&amp;"","")</f>
        <v/>
      </c>
      <c r="AF45" t="str">
        <f>IFERROR(INDEX('All Data'!$F$2:$F$419,MATCH(43,$S$2:$S$419,0))&amp;"","")</f>
        <v/>
      </c>
      <c r="AH45" t="str">
        <f>IFERROR(INDEX('All Data'!$G$2:$G$419,MATCH(43,$V$2:$V$419,0))&amp;"","")</f>
        <v>50mm quilt</v>
      </c>
    </row>
    <row r="46" spans="1:34" x14ac:dyDescent="0.3">
      <c r="A46">
        <f>IF(OR($BA1="Any",$BA1=""),1,IF('All Data'!$B46=$BA1,1,0))</f>
        <v>1</v>
      </c>
      <c r="B46">
        <f>IF(OR($BA2="Any",$BA2=""),1,IF('All Data'!$C46=$BA2,1,0))</f>
        <v>1</v>
      </c>
      <c r="C46">
        <f>IF(OR($BA3="Any",$BA3=""),1,IF('All Data'!$D46=$BA3,1,0))</f>
        <v>1</v>
      </c>
      <c r="D46">
        <f>IF(OR($BA4="Any",$BA4=""),1,IF('All Data'!$E46=$BA4,1,0))</f>
        <v>1</v>
      </c>
      <c r="E46">
        <f>IF(OR($BA5="Any",$BA5=""),1,IF('All Data'!$F46=$BA5,1,0))</f>
        <v>1</v>
      </c>
      <c r="F46">
        <f>IF(OR($BA6="Any",$BA6=""),1,IF('All Data'!$G46=$BA6,1,0))</f>
        <v>0</v>
      </c>
      <c r="G46">
        <f>IF(AND(OR($BA$8="",ISNUMBER(SEARCH($BA$8,'All Data'!$K46&amp;" "&amp;'All Data'!$M46))),OR($BA$9="",ISNUMBER(SEARCH($BA$9,'All Data'!$K46&amp;" "&amp;'All Data'!$M46))),OR($BA$10="",ISNUMBER(SEARCH($BA$10,'All Data'!$K46&amp;" "&amp;'All Data'!$M46))),OR($BA$11="",ISNUMBER(SEARCH($BA$11,'All Data'!$K46&amp;" "&amp;'All Data'!$M46))),OR($BA$12="",ISNUMBER(SEARCH($BA$12,'All Data'!$K46&amp;" "&amp;'All Data'!$M46))),OR($BA$13="",ISNUMBER(SEARCH($BA$13,'All Data'!$K46&amp;" "&amp;'All Data'!$M46))),OR($BA$14="",ISNUMBER(SEARCH($BA$14,'All Data'!$K46&amp;" "&amp;'All Data'!$M46))),OR($BA$15="",ISNUMBER(SEARCH($BA$15,'All Data'!$K46&amp;" "&amp;'All Data'!$M46)))),1,0)</f>
        <v>1</v>
      </c>
      <c r="H46">
        <f t="shared" si="0"/>
        <v>1</v>
      </c>
      <c r="I46">
        <f>IF(AND($H46=1,'All Data'!$C46&lt;&gt;"",COUNTIFS($H$2:H45,1,'All Data'!$C$2:$C45,'All Data'!$C46)=0),1,0)</f>
        <v>0</v>
      </c>
      <c r="J46" t="str">
        <f>IF($I46=1,SUM($I$2:I46),"")</f>
        <v/>
      </c>
      <c r="K46">
        <f t="shared" si="1"/>
        <v>1</v>
      </c>
      <c r="L46">
        <f>IF(AND($K46=1,'All Data'!$D46&lt;&gt;"",COUNTIFS($K$2:K45,1,'All Data'!$D$2:$D45,'All Data'!$D46)=0),1,0)</f>
        <v>0</v>
      </c>
      <c r="M46" t="str">
        <f>IF($L46=1,SUM($L$2:L46),"")</f>
        <v/>
      </c>
      <c r="N46">
        <f t="shared" si="2"/>
        <v>1</v>
      </c>
      <c r="O46">
        <f>IF(AND($N46=1,'All Data'!$E46&lt;&gt;"",COUNTIFS($N$2:N45,1,'All Data'!$E$2:$E45,'All Data'!$E46)=0),1,0)</f>
        <v>0</v>
      </c>
      <c r="P46" t="str">
        <f>IF($O46=1,SUM($O$2:O46),"")</f>
        <v/>
      </c>
      <c r="Q46">
        <f t="shared" si="3"/>
        <v>1</v>
      </c>
      <c r="R46">
        <f>IF(AND($Q46=1,'All Data'!$F46&lt;&gt;"",COUNTIFS($Q$2:Q45,1,'All Data'!$F$2:$F45,'All Data'!$F46)=0),1,0)</f>
        <v>0</v>
      </c>
      <c r="S46" t="str">
        <f>IF($R46=1,SUM($R$2:R46),"")</f>
        <v/>
      </c>
      <c r="T46">
        <f t="shared" si="4"/>
        <v>1</v>
      </c>
      <c r="U46">
        <f>IF(AND($T46=1,'All Data'!$G46&lt;&gt;"",COUNTIFS($T$2:T45,1,'All Data'!$G$2:$G45,'All Data'!$G46)=0),1,0)</f>
        <v>0</v>
      </c>
      <c r="V46" t="str">
        <f>IF($U46=1,SUM($U$2:U46),"")</f>
        <v/>
      </c>
      <c r="W46">
        <f t="shared" si="5"/>
        <v>0</v>
      </c>
      <c r="X46" t="str">
        <f>IF($W46=1,SUM($W$2:W46),"")</f>
        <v/>
      </c>
      <c r="Z46" t="str">
        <f>IFERROR(INDEX('All Data'!$C$2:$C$419,MATCH(44,$J$2:$J$419,0))&amp;"","")</f>
        <v/>
      </c>
      <c r="AB46" t="str">
        <f>IFERROR(INDEX('All Data'!$D$2:$D$419,MATCH(44,$M$2:$M$419,0))&amp;"","")</f>
        <v/>
      </c>
      <c r="AD46" t="str">
        <f>IFERROR(INDEX('All Data'!$E$2:$E$419,MATCH(44,$P$2:$P$419,0))&amp;"","")</f>
        <v/>
      </c>
      <c r="AF46" t="str">
        <f>IFERROR(INDEX('All Data'!$F$2:$F$419,MATCH(44,$S$2:$S$419,0))&amp;"","")</f>
        <v/>
      </c>
      <c r="AH46" t="str">
        <f>IFERROR(INDEX('All Data'!$G$2:$G$419,MATCH(44,$V$2:$V$419,0))&amp;"","")</f>
        <v>75mm quilt</v>
      </c>
    </row>
    <row r="47" spans="1:34" x14ac:dyDescent="0.3">
      <c r="A47">
        <f>IF(OR($BA1="Any",$BA1=""),1,IF('All Data'!$B47=$BA1,1,0))</f>
        <v>1</v>
      </c>
      <c r="B47">
        <f>IF(OR($BA2="Any",$BA2=""),1,IF('All Data'!$C47=$BA2,1,0))</f>
        <v>1</v>
      </c>
      <c r="C47">
        <f>IF(OR($BA3="Any",$BA3=""),1,IF('All Data'!$D47=$BA3,1,0))</f>
        <v>1</v>
      </c>
      <c r="D47">
        <f>IF(OR($BA4="Any",$BA4=""),1,IF('All Data'!$E47=$BA4,1,0))</f>
        <v>1</v>
      </c>
      <c r="E47">
        <f>IF(OR($BA5="Any",$BA5=""),1,IF('All Data'!$F47=$BA5,1,0))</f>
        <v>1</v>
      </c>
      <c r="F47">
        <f>IF(OR($BA6="Any",$BA6=""),1,IF('All Data'!$G47=$BA6,1,0))</f>
        <v>0</v>
      </c>
      <c r="G47">
        <f>IF(AND(OR($BA$8="",ISNUMBER(SEARCH($BA$8,'All Data'!$K47&amp;" "&amp;'All Data'!$M47))),OR($BA$9="",ISNUMBER(SEARCH($BA$9,'All Data'!$K47&amp;" "&amp;'All Data'!$M47))),OR($BA$10="",ISNUMBER(SEARCH($BA$10,'All Data'!$K47&amp;" "&amp;'All Data'!$M47))),OR($BA$11="",ISNUMBER(SEARCH($BA$11,'All Data'!$K47&amp;" "&amp;'All Data'!$M47))),OR($BA$12="",ISNUMBER(SEARCH($BA$12,'All Data'!$K47&amp;" "&amp;'All Data'!$M47))),OR($BA$13="",ISNUMBER(SEARCH($BA$13,'All Data'!$K47&amp;" "&amp;'All Data'!$M47))),OR($BA$14="",ISNUMBER(SEARCH($BA$14,'All Data'!$K47&amp;" "&amp;'All Data'!$M47))),OR($BA$15="",ISNUMBER(SEARCH($BA$15,'All Data'!$K47&amp;" "&amp;'All Data'!$M47)))),1,0)</f>
        <v>1</v>
      </c>
      <c r="H47">
        <f t="shared" si="0"/>
        <v>1</v>
      </c>
      <c r="I47">
        <f>IF(AND($H47=1,'All Data'!$C47&lt;&gt;"",COUNTIFS($H$2:H46,1,'All Data'!$C$2:$C46,'All Data'!$C47)=0),1,0)</f>
        <v>0</v>
      </c>
      <c r="J47" t="str">
        <f>IF($I47=1,SUM($I$2:I47),"")</f>
        <v/>
      </c>
      <c r="K47">
        <f t="shared" si="1"/>
        <v>1</v>
      </c>
      <c r="L47">
        <f>IF(AND($K47=1,'All Data'!$D47&lt;&gt;"",COUNTIFS($K$2:K46,1,'All Data'!$D$2:$D46,'All Data'!$D47)=0),1,0)</f>
        <v>0</v>
      </c>
      <c r="M47" t="str">
        <f>IF($L47=1,SUM($L$2:L47),"")</f>
        <v/>
      </c>
      <c r="N47">
        <f t="shared" si="2"/>
        <v>1</v>
      </c>
      <c r="O47">
        <f>IF(AND($N47=1,'All Data'!$E47&lt;&gt;"",COUNTIFS($N$2:N46,1,'All Data'!$E$2:$E46,'All Data'!$E47)=0),1,0)</f>
        <v>0</v>
      </c>
      <c r="P47" t="str">
        <f>IF($O47=1,SUM($O$2:O47),"")</f>
        <v/>
      </c>
      <c r="Q47">
        <f t="shared" si="3"/>
        <v>1</v>
      </c>
      <c r="R47">
        <f>IF(AND($Q47=1,'All Data'!$F47&lt;&gt;"",COUNTIFS($Q$2:Q46,1,'All Data'!$F$2:$F46,'All Data'!$F47)=0),1,0)</f>
        <v>0</v>
      </c>
      <c r="S47" t="str">
        <f>IF($R47=1,SUM($R$2:R47),"")</f>
        <v/>
      </c>
      <c r="T47">
        <f t="shared" si="4"/>
        <v>1</v>
      </c>
      <c r="U47">
        <f>IF(AND($T47=1,'All Data'!$G47&lt;&gt;"",COUNTIFS($T$2:T46,1,'All Data'!$G$2:$G46,'All Data'!$G47)=0),1,0)</f>
        <v>0</v>
      </c>
      <c r="V47" t="str">
        <f>IF($U47=1,SUM($U$2:U47),"")</f>
        <v/>
      </c>
      <c r="W47">
        <f t="shared" si="5"/>
        <v>0</v>
      </c>
      <c r="X47" t="str">
        <f>IF($W47=1,SUM($W$2:W47),"")</f>
        <v/>
      </c>
      <c r="Z47" t="str">
        <f>IFERROR(INDEX('All Data'!$C$2:$C$419,MATCH(45,$J$2:$J$419,0))&amp;"","")</f>
        <v/>
      </c>
      <c r="AB47" t="str">
        <f>IFERROR(INDEX('All Data'!$D$2:$D$419,MATCH(45,$M$2:$M$419,0))&amp;"","")</f>
        <v/>
      </c>
      <c r="AD47" t="str">
        <f>IFERROR(INDEX('All Data'!$E$2:$E$419,MATCH(45,$P$2:$P$419,0))&amp;"","")</f>
        <v/>
      </c>
      <c r="AF47" t="str">
        <f>IFERROR(INDEX('All Data'!$F$2:$F$419,MATCH(45,$S$2:$S$419,0))&amp;"","")</f>
        <v/>
      </c>
      <c r="AH47" t="str">
        <f>IFERROR(INDEX('All Data'!$G$2:$G$419,MATCH(45,$V$2:$V$419,0))&amp;"","")</f>
        <v>100mm quilt</v>
      </c>
    </row>
    <row r="48" spans="1:34" x14ac:dyDescent="0.3">
      <c r="A48">
        <f>IF(OR($BA1="Any",$BA1=""),1,IF('All Data'!$B48=$BA1,1,0))</f>
        <v>1</v>
      </c>
      <c r="B48">
        <f>IF(OR($BA2="Any",$BA2=""),1,IF('All Data'!$C48=$BA2,1,0))</f>
        <v>1</v>
      </c>
      <c r="C48">
        <f>IF(OR($BA3="Any",$BA3=""),1,IF('All Data'!$D48=$BA3,1,0))</f>
        <v>1</v>
      </c>
      <c r="D48">
        <f>IF(OR($BA4="Any",$BA4=""),1,IF('All Data'!$E48=$BA4,1,0))</f>
        <v>1</v>
      </c>
      <c r="E48">
        <f>IF(OR($BA5="Any",$BA5=""),1,IF('All Data'!$F48=$BA5,1,0))</f>
        <v>1</v>
      </c>
      <c r="F48">
        <f>IF(OR($BA6="Any",$BA6=""),1,IF('All Data'!$G48=$BA6,1,0))</f>
        <v>0</v>
      </c>
      <c r="G48">
        <f>IF(AND(OR($BA$8="",ISNUMBER(SEARCH($BA$8,'All Data'!$K48&amp;" "&amp;'All Data'!$M48))),OR($BA$9="",ISNUMBER(SEARCH($BA$9,'All Data'!$K48&amp;" "&amp;'All Data'!$M48))),OR($BA$10="",ISNUMBER(SEARCH($BA$10,'All Data'!$K48&amp;" "&amp;'All Data'!$M48))),OR($BA$11="",ISNUMBER(SEARCH($BA$11,'All Data'!$K48&amp;" "&amp;'All Data'!$M48))),OR($BA$12="",ISNUMBER(SEARCH($BA$12,'All Data'!$K48&amp;" "&amp;'All Data'!$M48))),OR($BA$13="",ISNUMBER(SEARCH($BA$13,'All Data'!$K48&amp;" "&amp;'All Data'!$M48))),OR($BA$14="",ISNUMBER(SEARCH($BA$14,'All Data'!$K48&amp;" "&amp;'All Data'!$M48))),OR($BA$15="",ISNUMBER(SEARCH($BA$15,'All Data'!$K48&amp;" "&amp;'All Data'!$M48)))),1,0)</f>
        <v>1</v>
      </c>
      <c r="H48">
        <f t="shared" si="0"/>
        <v>1</v>
      </c>
      <c r="I48">
        <f>IF(AND($H48=1,'All Data'!$C48&lt;&gt;"",COUNTIFS($H$2:H47,1,'All Data'!$C$2:$C47,'All Data'!$C48)=0),1,0)</f>
        <v>0</v>
      </c>
      <c r="J48" t="str">
        <f>IF($I48=1,SUM($I$2:I48),"")</f>
        <v/>
      </c>
      <c r="K48">
        <f t="shared" si="1"/>
        <v>1</v>
      </c>
      <c r="L48">
        <f>IF(AND($K48=1,'All Data'!$D48&lt;&gt;"",COUNTIFS($K$2:K47,1,'All Data'!$D$2:$D47,'All Data'!$D48)=0),1,0)</f>
        <v>0</v>
      </c>
      <c r="M48" t="str">
        <f>IF($L48=1,SUM($L$2:L48),"")</f>
        <v/>
      </c>
      <c r="N48">
        <f t="shared" si="2"/>
        <v>1</v>
      </c>
      <c r="O48">
        <f>IF(AND($N48=1,'All Data'!$E48&lt;&gt;"",COUNTIFS($N$2:N47,1,'All Data'!$E$2:$E47,'All Data'!$E48)=0),1,0)</f>
        <v>0</v>
      </c>
      <c r="P48" t="str">
        <f>IF($O48=1,SUM($O$2:O48),"")</f>
        <v/>
      </c>
      <c r="Q48">
        <f t="shared" si="3"/>
        <v>1</v>
      </c>
      <c r="R48">
        <f>IF(AND($Q48=1,'All Data'!$F48&lt;&gt;"",COUNTIFS($Q$2:Q47,1,'All Data'!$F$2:$F47,'All Data'!$F48)=0),1,0)</f>
        <v>0</v>
      </c>
      <c r="S48" t="str">
        <f>IF($R48=1,SUM($R$2:R48),"")</f>
        <v/>
      </c>
      <c r="T48">
        <f t="shared" si="4"/>
        <v>1</v>
      </c>
      <c r="U48">
        <f>IF(AND($T48=1,'All Data'!$G48&lt;&gt;"",COUNTIFS($T$2:T47,1,'All Data'!$G$2:$G47,'All Data'!$G48)=0),1,0)</f>
        <v>0</v>
      </c>
      <c r="V48" t="str">
        <f>IF($U48=1,SUM($U$2:U48),"")</f>
        <v/>
      </c>
      <c r="W48">
        <f t="shared" si="5"/>
        <v>0</v>
      </c>
      <c r="X48" t="str">
        <f>IF($W48=1,SUM($W$2:W48),"")</f>
        <v/>
      </c>
      <c r="Z48" t="str">
        <f>IFERROR(INDEX('All Data'!$C$2:$C$419,MATCH(46,$J$2:$J$419,0))&amp;"","")</f>
        <v/>
      </c>
      <c r="AB48" t="str">
        <f>IFERROR(INDEX('All Data'!$D$2:$D$419,MATCH(46,$M$2:$M$419,0))&amp;"","")</f>
        <v/>
      </c>
      <c r="AD48" t="str">
        <f>IFERROR(INDEX('All Data'!$E$2:$E$419,MATCH(46,$P$2:$P$419,0))&amp;"","")</f>
        <v/>
      </c>
      <c r="AF48" t="str">
        <f>IFERROR(INDEX('All Data'!$F$2:$F$419,MATCH(46,$S$2:$S$419,0))&amp;"","")</f>
        <v/>
      </c>
      <c r="AH48" t="str">
        <f>IFERROR(INDEX('All Data'!$G$2:$G$419,MATCH(46,$V$2:$V$419,0))&amp;"","")</f>
        <v>150mm quilt</v>
      </c>
    </row>
    <row r="49" spans="1:34" x14ac:dyDescent="0.3">
      <c r="A49">
        <f>IF(OR($BA1="Any",$BA1=""),1,IF('All Data'!$B49=$BA1,1,0))</f>
        <v>1</v>
      </c>
      <c r="B49">
        <f>IF(OR($BA2="Any",$BA2=""),1,IF('All Data'!$C49=$BA2,1,0))</f>
        <v>1</v>
      </c>
      <c r="C49">
        <f>IF(OR($BA3="Any",$BA3=""),1,IF('All Data'!$D49=$BA3,1,0))</f>
        <v>1</v>
      </c>
      <c r="D49">
        <f>IF(OR($BA4="Any",$BA4=""),1,IF('All Data'!$E49=$BA4,1,0))</f>
        <v>1</v>
      </c>
      <c r="E49">
        <f>IF(OR($BA5="Any",$BA5=""),1,IF('All Data'!$F49=$BA5,1,0))</f>
        <v>1</v>
      </c>
      <c r="F49">
        <f>IF(OR($BA6="Any",$BA6=""),1,IF('All Data'!$G49=$BA6,1,0))</f>
        <v>0</v>
      </c>
      <c r="G49">
        <f>IF(AND(OR($BA$8="",ISNUMBER(SEARCH($BA$8,'All Data'!$K49&amp;" "&amp;'All Data'!$M49))),OR($BA$9="",ISNUMBER(SEARCH($BA$9,'All Data'!$K49&amp;" "&amp;'All Data'!$M49))),OR($BA$10="",ISNUMBER(SEARCH($BA$10,'All Data'!$K49&amp;" "&amp;'All Data'!$M49))),OR($BA$11="",ISNUMBER(SEARCH($BA$11,'All Data'!$K49&amp;" "&amp;'All Data'!$M49))),OR($BA$12="",ISNUMBER(SEARCH($BA$12,'All Data'!$K49&amp;" "&amp;'All Data'!$M49))),OR($BA$13="",ISNUMBER(SEARCH($BA$13,'All Data'!$K49&amp;" "&amp;'All Data'!$M49))),OR($BA$14="",ISNUMBER(SEARCH($BA$14,'All Data'!$K49&amp;" "&amp;'All Data'!$M49))),OR($BA$15="",ISNUMBER(SEARCH($BA$15,'All Data'!$K49&amp;" "&amp;'All Data'!$M49)))),1,0)</f>
        <v>1</v>
      </c>
      <c r="H49">
        <f t="shared" si="0"/>
        <v>1</v>
      </c>
      <c r="I49">
        <f>IF(AND($H49=1,'All Data'!$C49&lt;&gt;"",COUNTIFS($H$2:H48,1,'All Data'!$C$2:$C48,'All Data'!$C49)=0),1,0)</f>
        <v>0</v>
      </c>
      <c r="J49" t="str">
        <f>IF($I49=1,SUM($I$2:I49),"")</f>
        <v/>
      </c>
      <c r="K49">
        <f t="shared" si="1"/>
        <v>1</v>
      </c>
      <c r="L49">
        <f>IF(AND($K49=1,'All Data'!$D49&lt;&gt;"",COUNTIFS($K$2:K48,1,'All Data'!$D$2:$D48,'All Data'!$D49)=0),1,0)</f>
        <v>0</v>
      </c>
      <c r="M49" t="str">
        <f>IF($L49=1,SUM($L$2:L49),"")</f>
        <v/>
      </c>
      <c r="N49">
        <f t="shared" si="2"/>
        <v>1</v>
      </c>
      <c r="O49">
        <f>IF(AND($N49=1,'All Data'!$E49&lt;&gt;"",COUNTIFS($N$2:N48,1,'All Data'!$E$2:$E48,'All Data'!$E49)=0),1,0)</f>
        <v>0</v>
      </c>
      <c r="P49" t="str">
        <f>IF($O49=1,SUM($O$2:O49),"")</f>
        <v/>
      </c>
      <c r="Q49">
        <f t="shared" si="3"/>
        <v>1</v>
      </c>
      <c r="R49">
        <f>IF(AND($Q49=1,'All Data'!$F49&lt;&gt;"",COUNTIFS($Q$2:Q48,1,'All Data'!$F$2:$F48,'All Data'!$F49)=0),1,0)</f>
        <v>0</v>
      </c>
      <c r="S49" t="str">
        <f>IF($R49=1,SUM($R$2:R49),"")</f>
        <v/>
      </c>
      <c r="T49">
        <f t="shared" si="4"/>
        <v>1</v>
      </c>
      <c r="U49">
        <f>IF(AND($T49=1,'All Data'!$G49&lt;&gt;"",COUNTIFS($T$2:T48,1,'All Data'!$G$2:$G48,'All Data'!$G49)=0),1,0)</f>
        <v>0</v>
      </c>
      <c r="V49" t="str">
        <f>IF($U49=1,SUM($U$2:U49),"")</f>
        <v/>
      </c>
      <c r="W49">
        <f t="shared" si="5"/>
        <v>0</v>
      </c>
      <c r="X49" t="str">
        <f>IF($W49=1,SUM($W$2:W49),"")</f>
        <v/>
      </c>
      <c r="Z49" t="str">
        <f>IFERROR(INDEX('All Data'!$C$2:$C$419,MATCH(47,$J$2:$J$419,0))&amp;"","")</f>
        <v/>
      </c>
      <c r="AB49" t="str">
        <f>IFERROR(INDEX('All Data'!$D$2:$D$419,MATCH(47,$M$2:$M$419,0))&amp;"","")</f>
        <v/>
      </c>
      <c r="AD49" t="str">
        <f>IFERROR(INDEX('All Data'!$E$2:$E$419,MATCH(47,$P$2:$P$419,0))&amp;"","")</f>
        <v/>
      </c>
      <c r="AF49" t="str">
        <f>IFERROR(INDEX('All Data'!$F$2:$F$419,MATCH(47,$S$2:$S$419,0))&amp;"","")</f>
        <v/>
      </c>
      <c r="AH49" t="str">
        <f>IFERROR(INDEX('All Data'!$G$2:$G$419,MATCH(47,$V$2:$V$419,0))&amp;"","")</f>
        <v>200mm quilt</v>
      </c>
    </row>
    <row r="50" spans="1:34" x14ac:dyDescent="0.3">
      <c r="A50">
        <f>IF(OR($BA1="Any",$BA1=""),1,IF('All Data'!$B50=$BA1,1,0))</f>
        <v>1</v>
      </c>
      <c r="B50">
        <f>IF(OR($BA2="Any",$BA2=""),1,IF('All Data'!$C50=$BA2,1,0))</f>
        <v>1</v>
      </c>
      <c r="C50">
        <f>IF(OR($BA3="Any",$BA3=""),1,IF('All Data'!$D50=$BA3,1,0))</f>
        <v>1</v>
      </c>
      <c r="D50">
        <f>IF(OR($BA4="Any",$BA4=""),1,IF('All Data'!$E50=$BA4,1,0))</f>
        <v>1</v>
      </c>
      <c r="E50">
        <f>IF(OR($BA5="Any",$BA5=""),1,IF('All Data'!$F50=$BA5,1,0))</f>
        <v>1</v>
      </c>
      <c r="F50">
        <f>IF(OR($BA6="Any",$BA6=""),1,IF('All Data'!$G50=$BA6,1,0))</f>
        <v>0</v>
      </c>
      <c r="G50">
        <f>IF(AND(OR($BA$8="",ISNUMBER(SEARCH($BA$8,'All Data'!$K50&amp;" "&amp;'All Data'!$M50))),OR($BA$9="",ISNUMBER(SEARCH($BA$9,'All Data'!$K50&amp;" "&amp;'All Data'!$M50))),OR($BA$10="",ISNUMBER(SEARCH($BA$10,'All Data'!$K50&amp;" "&amp;'All Data'!$M50))),OR($BA$11="",ISNUMBER(SEARCH($BA$11,'All Data'!$K50&amp;" "&amp;'All Data'!$M50))),OR($BA$12="",ISNUMBER(SEARCH($BA$12,'All Data'!$K50&amp;" "&amp;'All Data'!$M50))),OR($BA$13="",ISNUMBER(SEARCH($BA$13,'All Data'!$K50&amp;" "&amp;'All Data'!$M50))),OR($BA$14="",ISNUMBER(SEARCH($BA$14,'All Data'!$K50&amp;" "&amp;'All Data'!$M50))),OR($BA$15="",ISNUMBER(SEARCH($BA$15,'All Data'!$K50&amp;" "&amp;'All Data'!$M50)))),1,0)</f>
        <v>1</v>
      </c>
      <c r="H50">
        <f t="shared" si="0"/>
        <v>1</v>
      </c>
      <c r="I50">
        <f>IF(AND($H50=1,'All Data'!$C50&lt;&gt;"",COUNTIFS($H$2:H49,1,'All Data'!$C$2:$C49,'All Data'!$C50)=0),1,0)</f>
        <v>0</v>
      </c>
      <c r="J50" t="str">
        <f>IF($I50=1,SUM($I$2:I50),"")</f>
        <v/>
      </c>
      <c r="K50">
        <f t="shared" si="1"/>
        <v>1</v>
      </c>
      <c r="L50">
        <f>IF(AND($K50=1,'All Data'!$D50&lt;&gt;"",COUNTIFS($K$2:K49,1,'All Data'!$D$2:$D49,'All Data'!$D50)=0),1,0)</f>
        <v>0</v>
      </c>
      <c r="M50" t="str">
        <f>IF($L50=1,SUM($L$2:L50),"")</f>
        <v/>
      </c>
      <c r="N50">
        <f t="shared" si="2"/>
        <v>1</v>
      </c>
      <c r="O50">
        <f>IF(AND($N50=1,'All Data'!$E50&lt;&gt;"",COUNTIFS($N$2:N49,1,'All Data'!$E$2:$E49,'All Data'!$E50)=0),1,0)</f>
        <v>0</v>
      </c>
      <c r="P50" t="str">
        <f>IF($O50=1,SUM($O$2:O50),"")</f>
        <v/>
      </c>
      <c r="Q50">
        <f t="shared" si="3"/>
        <v>1</v>
      </c>
      <c r="R50">
        <f>IF(AND($Q50=1,'All Data'!$F50&lt;&gt;"",COUNTIFS($Q$2:Q49,1,'All Data'!$F$2:$F49,'All Data'!$F50)=0),1,0)</f>
        <v>0</v>
      </c>
      <c r="S50" t="str">
        <f>IF($R50=1,SUM($R$2:R50),"")</f>
        <v/>
      </c>
      <c r="T50">
        <f t="shared" si="4"/>
        <v>1</v>
      </c>
      <c r="U50">
        <f>IF(AND($T50=1,'All Data'!$G50&lt;&gt;"",COUNTIFS($T$2:T49,1,'All Data'!$G$2:$G49,'All Data'!$G50)=0),1,0)</f>
        <v>1</v>
      </c>
      <c r="V50">
        <f>IF($U50=1,SUM($U$2:U50),"")</f>
        <v>26</v>
      </c>
      <c r="W50">
        <f t="shared" si="5"/>
        <v>0</v>
      </c>
      <c r="X50" t="str">
        <f>IF($W50=1,SUM($W$2:W50),"")</f>
        <v/>
      </c>
      <c r="Z50" t="str">
        <f>IFERROR(INDEX('All Data'!$C$2:$C$419,MATCH(48,$J$2:$J$419,0))&amp;"","")</f>
        <v/>
      </c>
      <c r="AB50" t="str">
        <f>IFERROR(INDEX('All Data'!$D$2:$D$419,MATCH(48,$M$2:$M$419,0))&amp;"","")</f>
        <v/>
      </c>
      <c r="AD50" t="str">
        <f>IFERROR(INDEX('All Data'!$E$2:$E$419,MATCH(48,$P$2:$P$419,0))&amp;"","")</f>
        <v/>
      </c>
      <c r="AF50" t="str">
        <f>IFERROR(INDEX('All Data'!$F$2:$F$419,MATCH(48,$S$2:$S$419,0))&amp;"","")</f>
        <v/>
      </c>
      <c r="AH50" t="str">
        <f>IFERROR(INDEX('All Data'!$G$2:$G$419,MATCH(48,$V$2:$V$419,0))&amp;"","")</f>
        <v>250mm quilt</v>
      </c>
    </row>
    <row r="51" spans="1:34" x14ac:dyDescent="0.3">
      <c r="A51">
        <f>IF(OR($BA1="Any",$BA1=""),1,IF('All Data'!$B51=$BA1,1,0))</f>
        <v>1</v>
      </c>
      <c r="B51">
        <f>IF(OR($BA2="Any",$BA2=""),1,IF('All Data'!$C51=$BA2,1,0))</f>
        <v>1</v>
      </c>
      <c r="C51">
        <f>IF(OR($BA3="Any",$BA3=""),1,IF('All Data'!$D51=$BA3,1,0))</f>
        <v>1</v>
      </c>
      <c r="D51">
        <f>IF(OR($BA4="Any",$BA4=""),1,IF('All Data'!$E51=$BA4,1,0))</f>
        <v>1</v>
      </c>
      <c r="E51">
        <f>IF(OR($BA5="Any",$BA5=""),1,IF('All Data'!$F51=$BA5,1,0))</f>
        <v>1</v>
      </c>
      <c r="F51">
        <f>IF(OR($BA6="Any",$BA6=""),1,IF('All Data'!$G51=$BA6,1,0))</f>
        <v>0</v>
      </c>
      <c r="G51">
        <f>IF(AND(OR($BA$8="",ISNUMBER(SEARCH($BA$8,'All Data'!$K51&amp;" "&amp;'All Data'!$M51))),OR($BA$9="",ISNUMBER(SEARCH($BA$9,'All Data'!$K51&amp;" "&amp;'All Data'!$M51))),OR($BA$10="",ISNUMBER(SEARCH($BA$10,'All Data'!$K51&amp;" "&amp;'All Data'!$M51))),OR($BA$11="",ISNUMBER(SEARCH($BA$11,'All Data'!$K51&amp;" "&amp;'All Data'!$M51))),OR($BA$12="",ISNUMBER(SEARCH($BA$12,'All Data'!$K51&amp;" "&amp;'All Data'!$M51))),OR($BA$13="",ISNUMBER(SEARCH($BA$13,'All Data'!$K51&amp;" "&amp;'All Data'!$M51))),OR($BA$14="",ISNUMBER(SEARCH($BA$14,'All Data'!$K51&amp;" "&amp;'All Data'!$M51))),OR($BA$15="",ISNUMBER(SEARCH($BA$15,'All Data'!$K51&amp;" "&amp;'All Data'!$M51)))),1,0)</f>
        <v>1</v>
      </c>
      <c r="H51">
        <f t="shared" si="0"/>
        <v>1</v>
      </c>
      <c r="I51">
        <f>IF(AND($H51=1,'All Data'!$C51&lt;&gt;"",COUNTIFS($H$2:H50,1,'All Data'!$C$2:$C50,'All Data'!$C51)=0),1,0)</f>
        <v>0</v>
      </c>
      <c r="J51" t="str">
        <f>IF($I51=1,SUM($I$2:I51),"")</f>
        <v/>
      </c>
      <c r="K51">
        <f t="shared" si="1"/>
        <v>1</v>
      </c>
      <c r="L51">
        <f>IF(AND($K51=1,'All Data'!$D51&lt;&gt;"",COUNTIFS($K$2:K50,1,'All Data'!$D$2:$D50,'All Data'!$D51)=0),1,0)</f>
        <v>0</v>
      </c>
      <c r="M51" t="str">
        <f>IF($L51=1,SUM($L$2:L51),"")</f>
        <v/>
      </c>
      <c r="N51">
        <f t="shared" si="2"/>
        <v>1</v>
      </c>
      <c r="O51">
        <f>IF(AND($N51=1,'All Data'!$E51&lt;&gt;"",COUNTIFS($N$2:N50,1,'All Data'!$E$2:$E50,'All Data'!$E51)=0),1,0)</f>
        <v>0</v>
      </c>
      <c r="P51" t="str">
        <f>IF($O51=1,SUM($O$2:O51),"")</f>
        <v/>
      </c>
      <c r="Q51">
        <f t="shared" si="3"/>
        <v>1</v>
      </c>
      <c r="R51">
        <f>IF(AND($Q51=1,'All Data'!$F51&lt;&gt;"",COUNTIFS($Q$2:Q50,1,'All Data'!$F$2:$F50,'All Data'!$F51)=0),1,0)</f>
        <v>0</v>
      </c>
      <c r="S51" t="str">
        <f>IF($R51=1,SUM($R$2:R51),"")</f>
        <v/>
      </c>
      <c r="T51">
        <f t="shared" si="4"/>
        <v>1</v>
      </c>
      <c r="U51">
        <f>IF(AND($T51=1,'All Data'!$G51&lt;&gt;"",COUNTIFS($T$2:T50,1,'All Data'!$G$2:$G50,'All Data'!$G51)=0),1,0)</f>
        <v>0</v>
      </c>
      <c r="V51" t="str">
        <f>IF($U51=1,SUM($U$2:U51),"")</f>
        <v/>
      </c>
      <c r="W51">
        <f t="shared" si="5"/>
        <v>0</v>
      </c>
      <c r="X51" t="str">
        <f>IF($W51=1,SUM($W$2:W51),"")</f>
        <v/>
      </c>
      <c r="Z51" t="str">
        <f>IFERROR(INDEX('All Data'!$C$2:$C$419,MATCH(49,$J$2:$J$419,0))&amp;"","")</f>
        <v/>
      </c>
      <c r="AB51" t="str">
        <f>IFERROR(INDEX('All Data'!$D$2:$D$419,MATCH(49,$M$2:$M$419,0))&amp;"","")</f>
        <v/>
      </c>
      <c r="AD51" t="str">
        <f>IFERROR(INDEX('All Data'!$E$2:$E$419,MATCH(49,$P$2:$P$419,0))&amp;"","")</f>
        <v/>
      </c>
      <c r="AF51" t="str">
        <f>IFERROR(INDEX('All Data'!$F$2:$F$419,MATCH(49,$S$2:$S$419,0))&amp;"","")</f>
        <v/>
      </c>
      <c r="AH51" t="str">
        <f>IFERROR(INDEX('All Data'!$G$2:$G$419,MATCH(49,$V$2:$V$419,0))&amp;"","")</f>
        <v>300mm quilt</v>
      </c>
    </row>
    <row r="52" spans="1:34" x14ac:dyDescent="0.3">
      <c r="A52">
        <f>IF(OR($BA1="Any",$BA1=""),1,IF('All Data'!$B52=$BA1,1,0))</f>
        <v>1</v>
      </c>
      <c r="B52">
        <f>IF(OR($BA2="Any",$BA2=""),1,IF('All Data'!$C52=$BA2,1,0))</f>
        <v>1</v>
      </c>
      <c r="C52">
        <f>IF(OR($BA3="Any",$BA3=""),1,IF('All Data'!$D52=$BA3,1,0))</f>
        <v>1</v>
      </c>
      <c r="D52">
        <f>IF(OR($BA4="Any",$BA4=""),1,IF('All Data'!$E52=$BA4,1,0))</f>
        <v>1</v>
      </c>
      <c r="E52">
        <f>IF(OR($BA5="Any",$BA5=""),1,IF('All Data'!$F52=$BA5,1,0))</f>
        <v>1</v>
      </c>
      <c r="F52">
        <f>IF(OR($BA6="Any",$BA6=""),1,IF('All Data'!$G52=$BA6,1,0))</f>
        <v>0</v>
      </c>
      <c r="G52">
        <f>IF(AND(OR($BA$8="",ISNUMBER(SEARCH($BA$8,'All Data'!$K52&amp;" "&amp;'All Data'!$M52))),OR($BA$9="",ISNUMBER(SEARCH($BA$9,'All Data'!$K52&amp;" "&amp;'All Data'!$M52))),OR($BA$10="",ISNUMBER(SEARCH($BA$10,'All Data'!$K52&amp;" "&amp;'All Data'!$M52))),OR($BA$11="",ISNUMBER(SEARCH($BA$11,'All Data'!$K52&amp;" "&amp;'All Data'!$M52))),OR($BA$12="",ISNUMBER(SEARCH($BA$12,'All Data'!$K52&amp;" "&amp;'All Data'!$M52))),OR($BA$13="",ISNUMBER(SEARCH($BA$13,'All Data'!$K52&amp;" "&amp;'All Data'!$M52))),OR($BA$14="",ISNUMBER(SEARCH($BA$14,'All Data'!$K52&amp;" "&amp;'All Data'!$M52))),OR($BA$15="",ISNUMBER(SEARCH($BA$15,'All Data'!$K52&amp;" "&amp;'All Data'!$M52)))),1,0)</f>
        <v>1</v>
      </c>
      <c r="H52">
        <f t="shared" si="0"/>
        <v>1</v>
      </c>
      <c r="I52">
        <f>IF(AND($H52=1,'All Data'!$C52&lt;&gt;"",COUNTIFS($H$2:H51,1,'All Data'!$C$2:$C51,'All Data'!$C52)=0),1,0)</f>
        <v>1</v>
      </c>
      <c r="J52">
        <f>IF($I52=1,SUM($I$2:I52),"")</f>
        <v>3</v>
      </c>
      <c r="K52">
        <f t="shared" si="1"/>
        <v>1</v>
      </c>
      <c r="L52">
        <f>IF(AND($K52=1,'All Data'!$D52&lt;&gt;"",COUNTIFS($K$2:K51,1,'All Data'!$D$2:$D51,'All Data'!$D52)=0),1,0)</f>
        <v>1</v>
      </c>
      <c r="M52">
        <f>IF($L52=1,SUM($L$2:L52),"")</f>
        <v>15</v>
      </c>
      <c r="N52">
        <f t="shared" si="2"/>
        <v>1</v>
      </c>
      <c r="O52">
        <f>IF(AND($N52=1,'All Data'!$E52&lt;&gt;"",COUNTIFS($N$2:N51,1,'All Data'!$E$2:$E51,'All Data'!$E52)=0),1,0)</f>
        <v>0</v>
      </c>
      <c r="P52" t="str">
        <f>IF($O52=1,SUM($O$2:O52),"")</f>
        <v/>
      </c>
      <c r="Q52">
        <f t="shared" si="3"/>
        <v>1</v>
      </c>
      <c r="R52">
        <f>IF(AND($Q52=1,'All Data'!$F52&lt;&gt;"",COUNTIFS($Q$2:Q51,1,'All Data'!$F$2:$F51,'All Data'!$F52)=0),1,0)</f>
        <v>0</v>
      </c>
      <c r="S52" t="str">
        <f>IF($R52=1,SUM($R$2:R52),"")</f>
        <v/>
      </c>
      <c r="T52">
        <f t="shared" si="4"/>
        <v>1</v>
      </c>
      <c r="U52">
        <f>IF(AND($T52=1,'All Data'!$G52&lt;&gt;"",COUNTIFS($T$2:T51,1,'All Data'!$G$2:$G51,'All Data'!$G52)=0),1,0)</f>
        <v>0</v>
      </c>
      <c r="V52" t="str">
        <f>IF($U52=1,SUM($U$2:U52),"")</f>
        <v/>
      </c>
      <c r="W52">
        <f t="shared" si="5"/>
        <v>0</v>
      </c>
      <c r="X52" t="str">
        <f>IF($W52=1,SUM($W$2:W52),"")</f>
        <v/>
      </c>
      <c r="Z52" t="str">
        <f>IFERROR(INDEX('All Data'!$C$2:$C$419,MATCH(50,$J$2:$J$419,0))&amp;"","")</f>
        <v/>
      </c>
      <c r="AB52" t="str">
        <f>IFERROR(INDEX('All Data'!$D$2:$D$419,MATCH(50,$M$2:$M$419,0))&amp;"","")</f>
        <v/>
      </c>
      <c r="AD52" t="str">
        <f>IFERROR(INDEX('All Data'!$E$2:$E$419,MATCH(50,$P$2:$P$419,0))&amp;"","")</f>
        <v/>
      </c>
      <c r="AF52" t="str">
        <f>IFERROR(INDEX('All Data'!$F$2:$F$419,MATCH(50,$S$2:$S$419,0))&amp;"","")</f>
        <v/>
      </c>
      <c r="AH52" t="str">
        <f>IFERROR(INDEX('All Data'!$G$2:$G$419,MATCH(50,$V$2:$V$419,0))&amp;"","")</f>
        <v>1980/1985</v>
      </c>
    </row>
    <row r="53" spans="1:34" x14ac:dyDescent="0.3">
      <c r="A53">
        <f>IF(OR($BA1="Any",$BA1=""),1,IF('All Data'!$B53=$BA1,1,0))</f>
        <v>1</v>
      </c>
      <c r="B53">
        <f>IF(OR($BA2="Any",$BA2=""),1,IF('All Data'!$C53=$BA2,1,0))</f>
        <v>1</v>
      </c>
      <c r="C53">
        <f>IF(OR($BA3="Any",$BA3=""),1,IF('All Data'!$D53=$BA3,1,0))</f>
        <v>1</v>
      </c>
      <c r="D53">
        <f>IF(OR($BA4="Any",$BA4=""),1,IF('All Data'!$E53=$BA4,1,0))</f>
        <v>1</v>
      </c>
      <c r="E53">
        <f>IF(OR($BA5="Any",$BA5=""),1,IF('All Data'!$F53=$BA5,1,0))</f>
        <v>1</v>
      </c>
      <c r="F53">
        <f>IF(OR($BA6="Any",$BA6=""),1,IF('All Data'!$G53=$BA6,1,0))</f>
        <v>1</v>
      </c>
      <c r="G53">
        <f>IF(AND(OR($BA$8="",ISNUMBER(SEARCH($BA$8,'All Data'!$K53&amp;" "&amp;'All Data'!$M53))),OR($BA$9="",ISNUMBER(SEARCH($BA$9,'All Data'!$K53&amp;" "&amp;'All Data'!$M53))),OR($BA$10="",ISNUMBER(SEARCH($BA$10,'All Data'!$K53&amp;" "&amp;'All Data'!$M53))),OR($BA$11="",ISNUMBER(SEARCH($BA$11,'All Data'!$K53&amp;" "&amp;'All Data'!$M53))),OR($BA$12="",ISNUMBER(SEARCH($BA$12,'All Data'!$K53&amp;" "&amp;'All Data'!$M53))),OR($BA$13="",ISNUMBER(SEARCH($BA$13,'All Data'!$K53&amp;" "&amp;'All Data'!$M53))),OR($BA$14="",ISNUMBER(SEARCH($BA$14,'All Data'!$K53&amp;" "&amp;'All Data'!$M53))),OR($BA$15="",ISNUMBER(SEARCH($BA$15,'All Data'!$K53&amp;" "&amp;'All Data'!$M53)))),1,0)</f>
        <v>1</v>
      </c>
      <c r="H53">
        <f t="shared" si="0"/>
        <v>1</v>
      </c>
      <c r="I53">
        <f>IF(AND($H53=1,'All Data'!$C53&lt;&gt;"",COUNTIFS($H$2:H52,1,'All Data'!$C$2:$C52,'All Data'!$C53)=0),1,0)</f>
        <v>0</v>
      </c>
      <c r="J53" t="str">
        <f>IF($I53=1,SUM($I$2:I53),"")</f>
        <v/>
      </c>
      <c r="K53">
        <f t="shared" si="1"/>
        <v>1</v>
      </c>
      <c r="L53">
        <f>IF(AND($K53=1,'All Data'!$D53&lt;&gt;"",COUNTIFS($K$2:K52,1,'All Data'!$D$2:$D52,'All Data'!$D53)=0),1,0)</f>
        <v>0</v>
      </c>
      <c r="M53" t="str">
        <f>IF($L53=1,SUM($L$2:L53),"")</f>
        <v/>
      </c>
      <c r="N53">
        <f t="shared" si="2"/>
        <v>1</v>
      </c>
      <c r="O53">
        <f>IF(AND($N53=1,'All Data'!$E53&lt;&gt;"",COUNTIFS($N$2:N52,1,'All Data'!$E$2:$E52,'All Data'!$E53)=0),1,0)</f>
        <v>0</v>
      </c>
      <c r="P53" t="str">
        <f>IF($O53=1,SUM($O$2:O53),"")</f>
        <v/>
      </c>
      <c r="Q53">
        <f t="shared" si="3"/>
        <v>1</v>
      </c>
      <c r="R53">
        <f>IF(AND($Q53=1,'All Data'!$F53&lt;&gt;"",COUNTIFS($Q$2:Q52,1,'All Data'!$F$2:$F52,'All Data'!$F53)=0),1,0)</f>
        <v>0</v>
      </c>
      <c r="S53" t="str">
        <f>IF($R53=1,SUM($R$2:R53),"")</f>
        <v/>
      </c>
      <c r="T53">
        <f t="shared" si="4"/>
        <v>1</v>
      </c>
      <c r="U53">
        <f>IF(AND($T53=1,'All Data'!$G53&lt;&gt;"",COUNTIFS($T$2:T52,1,'All Data'!$G$2:$G52,'All Data'!$G53)=0),1,0)</f>
        <v>0</v>
      </c>
      <c r="V53" t="str">
        <f>IF($U53=1,SUM($U$2:U53),"")</f>
        <v/>
      </c>
      <c r="W53">
        <f t="shared" si="5"/>
        <v>1</v>
      </c>
      <c r="X53">
        <f>IF($W53=1,SUM($W$2:W53),"")</f>
        <v>2</v>
      </c>
      <c r="Z53" t="str">
        <f>IFERROR(INDEX('All Data'!$C$2:$C$419,MATCH(51,$J$2:$J$419,0))&amp;"","")</f>
        <v/>
      </c>
      <c r="AB53" t="str">
        <f>IFERROR(INDEX('All Data'!$D$2:$D$419,MATCH(51,$M$2:$M$419,0))&amp;"","")</f>
        <v/>
      </c>
      <c r="AD53" t="str">
        <f>IFERROR(INDEX('All Data'!$E$2:$E$419,MATCH(51,$P$2:$P$419,0))&amp;"","")</f>
        <v/>
      </c>
      <c r="AF53" t="str">
        <f>IFERROR(INDEX('All Data'!$F$2:$F$419,MATCH(51,$S$2:$S$419,0))&amp;"","")</f>
        <v/>
      </c>
      <c r="AH53" t="str">
        <f>IFERROR(INDEX('All Data'!$G$2:$G$419,MATCH(51,$V$2:$V$419,0))&amp;"","")</f>
        <v>1991</v>
      </c>
    </row>
    <row r="54" spans="1:34" x14ac:dyDescent="0.3">
      <c r="A54">
        <f>IF(OR($BA1="Any",$BA1=""),1,IF('All Data'!$B54=$BA1,1,0))</f>
        <v>1</v>
      </c>
      <c r="B54">
        <f>IF(OR($BA2="Any",$BA2=""),1,IF('All Data'!$C54=$BA2,1,0))</f>
        <v>1</v>
      </c>
      <c r="C54">
        <f>IF(OR($BA3="Any",$BA3=""),1,IF('All Data'!$D54=$BA3,1,0))</f>
        <v>1</v>
      </c>
      <c r="D54">
        <f>IF(OR($BA4="Any",$BA4=""),1,IF('All Data'!$E54=$BA4,1,0))</f>
        <v>1</v>
      </c>
      <c r="E54">
        <f>IF(OR($BA5="Any",$BA5=""),1,IF('All Data'!$F54=$BA5,1,0))</f>
        <v>1</v>
      </c>
      <c r="F54">
        <f>IF(OR($BA6="Any",$BA6=""),1,IF('All Data'!$G54=$BA6,1,0))</f>
        <v>0</v>
      </c>
      <c r="G54">
        <f>IF(AND(OR($BA$8="",ISNUMBER(SEARCH($BA$8,'All Data'!$K54&amp;" "&amp;'All Data'!$M54))),OR($BA$9="",ISNUMBER(SEARCH($BA$9,'All Data'!$K54&amp;" "&amp;'All Data'!$M54))),OR($BA$10="",ISNUMBER(SEARCH($BA$10,'All Data'!$K54&amp;" "&amp;'All Data'!$M54))),OR($BA$11="",ISNUMBER(SEARCH($BA$11,'All Data'!$K54&amp;" "&amp;'All Data'!$M54))),OR($BA$12="",ISNUMBER(SEARCH($BA$12,'All Data'!$K54&amp;" "&amp;'All Data'!$M54))),OR($BA$13="",ISNUMBER(SEARCH($BA$13,'All Data'!$K54&amp;" "&amp;'All Data'!$M54))),OR($BA$14="",ISNUMBER(SEARCH($BA$14,'All Data'!$K54&amp;" "&amp;'All Data'!$M54))),OR($BA$15="",ISNUMBER(SEARCH($BA$15,'All Data'!$K54&amp;" "&amp;'All Data'!$M54)))),1,0)</f>
        <v>1</v>
      </c>
      <c r="H54">
        <f t="shared" si="0"/>
        <v>1</v>
      </c>
      <c r="I54">
        <f>IF(AND($H54=1,'All Data'!$C54&lt;&gt;"",COUNTIFS($H$2:H53,1,'All Data'!$C$2:$C53,'All Data'!$C54)=0),1,0)</f>
        <v>0</v>
      </c>
      <c r="J54" t="str">
        <f>IF($I54=1,SUM($I$2:I54),"")</f>
        <v/>
      </c>
      <c r="K54">
        <f t="shared" si="1"/>
        <v>1</v>
      </c>
      <c r="L54">
        <f>IF(AND($K54=1,'All Data'!$D54&lt;&gt;"",COUNTIFS($K$2:K53,1,'All Data'!$D$2:$D53,'All Data'!$D54)=0),1,0)</f>
        <v>0</v>
      </c>
      <c r="M54" t="str">
        <f>IF($L54=1,SUM($L$2:L54),"")</f>
        <v/>
      </c>
      <c r="N54">
        <f t="shared" si="2"/>
        <v>1</v>
      </c>
      <c r="O54">
        <f>IF(AND($N54=1,'All Data'!$E54&lt;&gt;"",COUNTIFS($N$2:N53,1,'All Data'!$E$2:$E53,'All Data'!$E54)=0),1,0)</f>
        <v>0</v>
      </c>
      <c r="P54" t="str">
        <f>IF($O54=1,SUM($O$2:O54),"")</f>
        <v/>
      </c>
      <c r="Q54">
        <f t="shared" si="3"/>
        <v>1</v>
      </c>
      <c r="R54">
        <f>IF(AND($Q54=1,'All Data'!$F54&lt;&gt;"",COUNTIFS($Q$2:Q53,1,'All Data'!$F$2:$F53,'All Data'!$F54)=0),1,0)</f>
        <v>0</v>
      </c>
      <c r="S54" t="str">
        <f>IF($R54=1,SUM($R$2:R54),"")</f>
        <v/>
      </c>
      <c r="T54">
        <f t="shared" si="4"/>
        <v>1</v>
      </c>
      <c r="U54">
        <f>IF(AND($T54=1,'All Data'!$G54&lt;&gt;"",COUNTIFS($T$2:T53,1,'All Data'!$G$2:$G53,'All Data'!$G54)=0),1,0)</f>
        <v>0</v>
      </c>
      <c r="V54" t="str">
        <f>IF($U54=1,SUM($U$2:U54),"")</f>
        <v/>
      </c>
      <c r="W54">
        <f t="shared" si="5"/>
        <v>0</v>
      </c>
      <c r="X54" t="str">
        <f>IF($W54=1,SUM($W$2:W54),"")</f>
        <v/>
      </c>
      <c r="Z54" t="str">
        <f>IFERROR(INDEX('All Data'!$C$2:$C$419,MATCH(52,$J$2:$J$419,0))&amp;"","")</f>
        <v/>
      </c>
      <c r="AB54" t="str">
        <f>IFERROR(INDEX('All Data'!$D$2:$D$419,MATCH(52,$M$2:$M$419,0))&amp;"","")</f>
        <v/>
      </c>
      <c r="AD54" t="str">
        <f>IFERROR(INDEX('All Data'!$E$2:$E$419,MATCH(52,$P$2:$P$419,0))&amp;"","")</f>
        <v/>
      </c>
      <c r="AF54" t="str">
        <f>IFERROR(INDEX('All Data'!$F$2:$F$419,MATCH(52,$S$2:$S$419,0))&amp;"","")</f>
        <v/>
      </c>
      <c r="AH54" t="str">
        <f>IFERROR(INDEX('All Data'!$G$2:$G$419,MATCH(52,$V$2:$V$419,0))&amp;"","")</f>
        <v>1997</v>
      </c>
    </row>
    <row r="55" spans="1:34" x14ac:dyDescent="0.3">
      <c r="A55">
        <f>IF(OR($BA1="Any",$BA1=""),1,IF('All Data'!$B55=$BA1,1,0))</f>
        <v>1</v>
      </c>
      <c r="B55">
        <f>IF(OR($BA2="Any",$BA2=""),1,IF('All Data'!$C55=$BA2,1,0))</f>
        <v>1</v>
      </c>
      <c r="C55">
        <f>IF(OR($BA3="Any",$BA3=""),1,IF('All Data'!$D55=$BA3,1,0))</f>
        <v>1</v>
      </c>
      <c r="D55">
        <f>IF(OR($BA4="Any",$BA4=""),1,IF('All Data'!$E55=$BA4,1,0))</f>
        <v>1</v>
      </c>
      <c r="E55">
        <f>IF(OR($BA5="Any",$BA5=""),1,IF('All Data'!$F55=$BA5,1,0))</f>
        <v>1</v>
      </c>
      <c r="F55">
        <f>IF(OR($BA6="Any",$BA6=""),1,IF('All Data'!$G55=$BA6,1,0))</f>
        <v>0</v>
      </c>
      <c r="G55">
        <f>IF(AND(OR($BA$8="",ISNUMBER(SEARCH($BA$8,'All Data'!$K55&amp;" "&amp;'All Data'!$M55))),OR($BA$9="",ISNUMBER(SEARCH($BA$9,'All Data'!$K55&amp;" "&amp;'All Data'!$M55))),OR($BA$10="",ISNUMBER(SEARCH($BA$10,'All Data'!$K55&amp;" "&amp;'All Data'!$M55))),OR($BA$11="",ISNUMBER(SEARCH($BA$11,'All Data'!$K55&amp;" "&amp;'All Data'!$M55))),OR($BA$12="",ISNUMBER(SEARCH($BA$12,'All Data'!$K55&amp;" "&amp;'All Data'!$M55))),OR($BA$13="",ISNUMBER(SEARCH($BA$13,'All Data'!$K55&amp;" "&amp;'All Data'!$M55))),OR($BA$14="",ISNUMBER(SEARCH($BA$14,'All Data'!$K55&amp;" "&amp;'All Data'!$M55))),OR($BA$15="",ISNUMBER(SEARCH($BA$15,'All Data'!$K55&amp;" "&amp;'All Data'!$M55)))),1,0)</f>
        <v>1</v>
      </c>
      <c r="H55">
        <f t="shared" si="0"/>
        <v>1</v>
      </c>
      <c r="I55">
        <f>IF(AND($H55=1,'All Data'!$C55&lt;&gt;"",COUNTIFS($H$2:H54,1,'All Data'!$C$2:$C54,'All Data'!$C55)=0),1,0)</f>
        <v>0</v>
      </c>
      <c r="J55" t="str">
        <f>IF($I55=1,SUM($I$2:I55),"")</f>
        <v/>
      </c>
      <c r="K55">
        <f t="shared" si="1"/>
        <v>1</v>
      </c>
      <c r="L55">
        <f>IF(AND($K55=1,'All Data'!$D55&lt;&gt;"",COUNTIFS($K$2:K54,1,'All Data'!$D$2:$D54,'All Data'!$D55)=0),1,0)</f>
        <v>0</v>
      </c>
      <c r="M55" t="str">
        <f>IF($L55=1,SUM($L$2:L55),"")</f>
        <v/>
      </c>
      <c r="N55">
        <f t="shared" si="2"/>
        <v>1</v>
      </c>
      <c r="O55">
        <f>IF(AND($N55=1,'All Data'!$E55&lt;&gt;"",COUNTIFS($N$2:N54,1,'All Data'!$E$2:$E54,'All Data'!$E55)=0),1,0)</f>
        <v>0</v>
      </c>
      <c r="P55" t="str">
        <f>IF($O55=1,SUM($O$2:O55),"")</f>
        <v/>
      </c>
      <c r="Q55">
        <f t="shared" si="3"/>
        <v>1</v>
      </c>
      <c r="R55">
        <f>IF(AND($Q55=1,'All Data'!$F55&lt;&gt;"",COUNTIFS($Q$2:Q54,1,'All Data'!$F$2:$F54,'All Data'!$F55)=0),1,0)</f>
        <v>0</v>
      </c>
      <c r="S55" t="str">
        <f>IF($R55=1,SUM($R$2:R55),"")</f>
        <v/>
      </c>
      <c r="T55">
        <f t="shared" si="4"/>
        <v>1</v>
      </c>
      <c r="U55">
        <f>IF(AND($T55=1,'All Data'!$G55&lt;&gt;"",COUNTIFS($T$2:T54,1,'All Data'!$G$2:$G54,'All Data'!$G55)=0),1,0)</f>
        <v>0</v>
      </c>
      <c r="V55" t="str">
        <f>IF($U55=1,SUM($U$2:U55),"")</f>
        <v/>
      </c>
      <c r="W55">
        <f t="shared" si="5"/>
        <v>0</v>
      </c>
      <c r="X55" t="str">
        <f>IF($W55=1,SUM($W$2:W55),"")</f>
        <v/>
      </c>
      <c r="Z55" t="str">
        <f>IFERROR(INDEX('All Data'!$C$2:$C$419,MATCH(53,$J$2:$J$419,0))&amp;"","")</f>
        <v/>
      </c>
      <c r="AB55" t="str">
        <f>IFERROR(INDEX('All Data'!$D$2:$D$419,MATCH(53,$M$2:$M$419,0))&amp;"","")</f>
        <v/>
      </c>
      <c r="AD55" t="str">
        <f>IFERROR(INDEX('All Data'!$E$2:$E$419,MATCH(53,$P$2:$P$419,0))&amp;"","")</f>
        <v/>
      </c>
      <c r="AF55" t="str">
        <f>IFERROR(INDEX('All Data'!$F$2:$F$419,MATCH(53,$S$2:$S$419,0))&amp;"","")</f>
        <v/>
      </c>
      <c r="AH55" t="str">
        <f>IFERROR(INDEX('All Data'!$G$2:$G$419,MATCH(53,$V$2:$V$419,0))&amp;"","")</f>
        <v>89mm studs</v>
      </c>
    </row>
    <row r="56" spans="1:34" x14ac:dyDescent="0.3">
      <c r="A56">
        <f>IF(OR($BA1="Any",$BA1=""),1,IF('All Data'!$B56=$BA1,1,0))</f>
        <v>1</v>
      </c>
      <c r="B56">
        <f>IF(OR($BA2="Any",$BA2=""),1,IF('All Data'!$C56=$BA2,1,0))</f>
        <v>1</v>
      </c>
      <c r="C56">
        <f>IF(OR($BA3="Any",$BA3=""),1,IF('All Data'!$D56=$BA3,1,0))</f>
        <v>1</v>
      </c>
      <c r="D56">
        <f>IF(OR($BA4="Any",$BA4=""),1,IF('All Data'!$E56=$BA4,1,0))</f>
        <v>1</v>
      </c>
      <c r="E56">
        <f>IF(OR($BA5="Any",$BA5=""),1,IF('All Data'!$F56=$BA5,1,0))</f>
        <v>1</v>
      </c>
      <c r="F56">
        <f>IF(OR($BA6="Any",$BA6=""),1,IF('All Data'!$G56=$BA6,1,0))</f>
        <v>0</v>
      </c>
      <c r="G56">
        <f>IF(AND(OR($BA$8="",ISNUMBER(SEARCH($BA$8,'All Data'!$K56&amp;" "&amp;'All Data'!$M56))),OR($BA$9="",ISNUMBER(SEARCH($BA$9,'All Data'!$K56&amp;" "&amp;'All Data'!$M56))),OR($BA$10="",ISNUMBER(SEARCH($BA$10,'All Data'!$K56&amp;" "&amp;'All Data'!$M56))),OR($BA$11="",ISNUMBER(SEARCH($BA$11,'All Data'!$K56&amp;" "&amp;'All Data'!$M56))),OR($BA$12="",ISNUMBER(SEARCH($BA$12,'All Data'!$K56&amp;" "&amp;'All Data'!$M56))),OR($BA$13="",ISNUMBER(SEARCH($BA$13,'All Data'!$K56&amp;" "&amp;'All Data'!$M56))),OR($BA$14="",ISNUMBER(SEARCH($BA$14,'All Data'!$K56&amp;" "&amp;'All Data'!$M56))),OR($BA$15="",ISNUMBER(SEARCH($BA$15,'All Data'!$K56&amp;" "&amp;'All Data'!$M56)))),1,0)</f>
        <v>1</v>
      </c>
      <c r="H56">
        <f t="shared" si="0"/>
        <v>1</v>
      </c>
      <c r="I56">
        <f>IF(AND($H56=1,'All Data'!$C56&lt;&gt;"",COUNTIFS($H$2:H55,1,'All Data'!$C$2:$C55,'All Data'!$C56)=0),1,0)</f>
        <v>0</v>
      </c>
      <c r="J56" t="str">
        <f>IF($I56=1,SUM($I$2:I56),"")</f>
        <v/>
      </c>
      <c r="K56">
        <f t="shared" si="1"/>
        <v>1</v>
      </c>
      <c r="L56">
        <f>IF(AND($K56=1,'All Data'!$D56&lt;&gt;"",COUNTIFS($K$2:K55,1,'All Data'!$D$2:$D55,'All Data'!$D56)=0),1,0)</f>
        <v>0</v>
      </c>
      <c r="M56" t="str">
        <f>IF($L56=1,SUM($L$2:L56),"")</f>
        <v/>
      </c>
      <c r="N56">
        <f t="shared" si="2"/>
        <v>1</v>
      </c>
      <c r="O56">
        <f>IF(AND($N56=1,'All Data'!$E56&lt;&gt;"",COUNTIFS($N$2:N55,1,'All Data'!$E$2:$E55,'All Data'!$E56)=0),1,0)</f>
        <v>0</v>
      </c>
      <c r="P56" t="str">
        <f>IF($O56=1,SUM($O$2:O56),"")</f>
        <v/>
      </c>
      <c r="Q56">
        <f t="shared" si="3"/>
        <v>1</v>
      </c>
      <c r="R56">
        <f>IF(AND($Q56=1,'All Data'!$F56&lt;&gt;"",COUNTIFS($Q$2:Q55,1,'All Data'!$F$2:$F55,'All Data'!$F56)=0),1,0)</f>
        <v>0</v>
      </c>
      <c r="S56" t="str">
        <f>IF($R56=1,SUM($R$2:R56),"")</f>
        <v/>
      </c>
      <c r="T56">
        <f t="shared" si="4"/>
        <v>1</v>
      </c>
      <c r="U56">
        <f>IF(AND($T56=1,'All Data'!$G56&lt;&gt;"",COUNTIFS($T$2:T55,1,'All Data'!$G$2:$G55,'All Data'!$G56)=0),1,0)</f>
        <v>0</v>
      </c>
      <c r="V56" t="str">
        <f>IF($U56=1,SUM($U$2:U56),"")</f>
        <v/>
      </c>
      <c r="W56">
        <f t="shared" si="5"/>
        <v>0</v>
      </c>
      <c r="X56" t="str">
        <f>IF($W56=1,SUM($W$2:W56),"")</f>
        <v/>
      </c>
      <c r="Z56" t="str">
        <f>IFERROR(INDEX('All Data'!$C$2:$C$419,MATCH(54,$J$2:$J$419,0))&amp;"","")</f>
        <v/>
      </c>
      <c r="AB56" t="str">
        <f>IFERROR(INDEX('All Data'!$D$2:$D$419,MATCH(54,$M$2:$M$419,0))&amp;"","")</f>
        <v/>
      </c>
      <c r="AD56" t="str">
        <f>IFERROR(INDEX('All Data'!$E$2:$E$419,MATCH(54,$P$2:$P$419,0))&amp;"","")</f>
        <v/>
      </c>
      <c r="AF56" t="str">
        <f>IFERROR(INDEX('All Data'!$F$2:$F$419,MATCH(54,$S$2:$S$419,0))&amp;"","")</f>
        <v/>
      </c>
      <c r="AH56" t="str">
        <f>IFERROR(INDEX('All Data'!$G$2:$G$419,MATCH(54,$V$2:$V$419,0))&amp;"","")</f>
        <v>140mm studs</v>
      </c>
    </row>
    <row r="57" spans="1:34" x14ac:dyDescent="0.3">
      <c r="A57">
        <f>IF(OR($BA1="Any",$BA1=""),1,IF('All Data'!$B57=$BA1,1,0))</f>
        <v>1</v>
      </c>
      <c r="B57">
        <f>IF(OR($BA2="Any",$BA2=""),1,IF('All Data'!$C57=$BA2,1,0))</f>
        <v>1</v>
      </c>
      <c r="C57">
        <f>IF(OR($BA3="Any",$BA3=""),1,IF('All Data'!$D57=$BA3,1,0))</f>
        <v>1</v>
      </c>
      <c r="D57">
        <f>IF(OR($BA4="Any",$BA4=""),1,IF('All Data'!$E57=$BA4,1,0))</f>
        <v>1</v>
      </c>
      <c r="E57">
        <f>IF(OR($BA5="Any",$BA5=""),1,IF('All Data'!$F57=$BA5,1,0))</f>
        <v>1</v>
      </c>
      <c r="F57">
        <f>IF(OR($BA6="Any",$BA6=""),1,IF('All Data'!$G57=$BA6,1,0))</f>
        <v>0</v>
      </c>
      <c r="G57">
        <f>IF(AND(OR($BA$8="",ISNUMBER(SEARCH($BA$8,'All Data'!$K57&amp;" "&amp;'All Data'!$M57))),OR($BA$9="",ISNUMBER(SEARCH($BA$9,'All Data'!$K57&amp;" "&amp;'All Data'!$M57))),OR($BA$10="",ISNUMBER(SEARCH($BA$10,'All Data'!$K57&amp;" "&amp;'All Data'!$M57))),OR($BA$11="",ISNUMBER(SEARCH($BA$11,'All Data'!$K57&amp;" "&amp;'All Data'!$M57))),OR($BA$12="",ISNUMBER(SEARCH($BA$12,'All Data'!$K57&amp;" "&amp;'All Data'!$M57))),OR($BA$13="",ISNUMBER(SEARCH($BA$13,'All Data'!$K57&amp;" "&amp;'All Data'!$M57))),OR($BA$14="",ISNUMBER(SEARCH($BA$14,'All Data'!$K57&amp;" "&amp;'All Data'!$M57))),OR($BA$15="",ISNUMBER(SEARCH($BA$15,'All Data'!$K57&amp;" "&amp;'All Data'!$M57)))),1,0)</f>
        <v>1</v>
      </c>
      <c r="H57">
        <f t="shared" si="0"/>
        <v>1</v>
      </c>
      <c r="I57">
        <f>IF(AND($H57=1,'All Data'!$C57&lt;&gt;"",COUNTIFS($H$2:H56,1,'All Data'!$C$2:$C56,'All Data'!$C57)=0),1,0)</f>
        <v>0</v>
      </c>
      <c r="J57" t="str">
        <f>IF($I57=1,SUM($I$2:I57),"")</f>
        <v/>
      </c>
      <c r="K57">
        <f t="shared" si="1"/>
        <v>1</v>
      </c>
      <c r="L57">
        <f>IF(AND($K57=1,'All Data'!$D57&lt;&gt;"",COUNTIFS($K$2:K56,1,'All Data'!$D$2:$D56,'All Data'!$D57)=0),1,0)</f>
        <v>1</v>
      </c>
      <c r="M57">
        <f>IF($L57=1,SUM($L$2:L57),"")</f>
        <v>16</v>
      </c>
      <c r="N57">
        <f t="shared" si="2"/>
        <v>1</v>
      </c>
      <c r="O57">
        <f>IF(AND($N57=1,'All Data'!$E57&lt;&gt;"",COUNTIFS($N$2:N56,1,'All Data'!$E$2:$E56,'All Data'!$E57)=0),1,0)</f>
        <v>0</v>
      </c>
      <c r="P57" t="str">
        <f>IF($O57=1,SUM($O$2:O57),"")</f>
        <v/>
      </c>
      <c r="Q57">
        <f t="shared" si="3"/>
        <v>1</v>
      </c>
      <c r="R57">
        <f>IF(AND($Q57=1,'All Data'!$F57&lt;&gt;"",COUNTIFS($Q$2:Q56,1,'All Data'!$F$2:$F56,'All Data'!$F57)=0),1,0)</f>
        <v>0</v>
      </c>
      <c r="S57" t="str">
        <f>IF($R57=1,SUM($R$2:R57),"")</f>
        <v/>
      </c>
      <c r="T57">
        <f t="shared" si="4"/>
        <v>1</v>
      </c>
      <c r="U57">
        <f>IF(AND($T57=1,'All Data'!$G57&lt;&gt;"",COUNTIFS($T$2:T56,1,'All Data'!$G$2:$G56,'All Data'!$G57)=0),1,0)</f>
        <v>1</v>
      </c>
      <c r="V57">
        <f>IF($U57=1,SUM($U$2:U57),"")</f>
        <v>27</v>
      </c>
      <c r="W57">
        <f t="shared" si="5"/>
        <v>0</v>
      </c>
      <c r="X57" t="str">
        <f>IF($W57=1,SUM($W$2:W57),"")</f>
        <v/>
      </c>
      <c r="Z57" t="str">
        <f>IFERROR(INDEX('All Data'!$C$2:$C$419,MATCH(55,$J$2:$J$419,0))&amp;"","")</f>
        <v/>
      </c>
      <c r="AB57" t="str">
        <f>IFERROR(INDEX('All Data'!$D$2:$D$419,MATCH(55,$M$2:$M$419,0))&amp;"","")</f>
        <v/>
      </c>
      <c r="AD57" t="str">
        <f>IFERROR(INDEX('All Data'!$E$2:$E$419,MATCH(55,$P$2:$P$419,0))&amp;"","")</f>
        <v/>
      </c>
      <c r="AF57" t="str">
        <f>IFERROR(INDEX('All Data'!$F$2:$F$419,MATCH(55,$S$2:$S$419,0))&amp;"","")</f>
        <v/>
      </c>
      <c r="AH57" t="str">
        <f>IFERROR(INDEX('All Data'!$G$2:$G$419,MATCH(55,$V$2:$V$419,0))&amp;"","")</f>
        <v>35mm PUR on sheathing</v>
      </c>
    </row>
    <row r="58" spans="1:34" x14ac:dyDescent="0.3">
      <c r="A58">
        <f>IF(OR($BA1="Any",$BA1=""),1,IF('All Data'!$B58=$BA1,1,0))</f>
        <v>1</v>
      </c>
      <c r="B58">
        <f>IF(OR($BA2="Any",$BA2=""),1,IF('All Data'!$C58=$BA2,1,0))</f>
        <v>1</v>
      </c>
      <c r="C58">
        <f>IF(OR($BA3="Any",$BA3=""),1,IF('All Data'!$D58=$BA3,1,0))</f>
        <v>1</v>
      </c>
      <c r="D58">
        <f>IF(OR($BA4="Any",$BA4=""),1,IF('All Data'!$E58=$BA4,1,0))</f>
        <v>1</v>
      </c>
      <c r="E58">
        <f>IF(OR($BA5="Any",$BA5=""),1,IF('All Data'!$F58=$BA5,1,0))</f>
        <v>1</v>
      </c>
      <c r="F58">
        <f>IF(OR($BA6="Any",$BA6=""),1,IF('All Data'!$G58=$BA6,1,0))</f>
        <v>0</v>
      </c>
      <c r="G58">
        <f>IF(AND(OR($BA$8="",ISNUMBER(SEARCH($BA$8,'All Data'!$K58&amp;" "&amp;'All Data'!$M58))),OR($BA$9="",ISNUMBER(SEARCH($BA$9,'All Data'!$K58&amp;" "&amp;'All Data'!$M58))),OR($BA$10="",ISNUMBER(SEARCH($BA$10,'All Data'!$K58&amp;" "&amp;'All Data'!$M58))),OR($BA$11="",ISNUMBER(SEARCH($BA$11,'All Data'!$K58&amp;" "&amp;'All Data'!$M58))),OR($BA$12="",ISNUMBER(SEARCH($BA$12,'All Data'!$K58&amp;" "&amp;'All Data'!$M58))),OR($BA$13="",ISNUMBER(SEARCH($BA$13,'All Data'!$K58&amp;" "&amp;'All Data'!$M58))),OR($BA$14="",ISNUMBER(SEARCH($BA$14,'All Data'!$K58&amp;" "&amp;'All Data'!$M58))),OR($BA$15="",ISNUMBER(SEARCH($BA$15,'All Data'!$K58&amp;" "&amp;'All Data'!$M58)))),1,0)</f>
        <v>1</v>
      </c>
      <c r="H58">
        <f t="shared" si="0"/>
        <v>1</v>
      </c>
      <c r="I58">
        <f>IF(AND($H58=1,'All Data'!$C58&lt;&gt;"",COUNTIFS($H$2:H57,1,'All Data'!$C$2:$C57,'All Data'!$C58)=0),1,0)</f>
        <v>0</v>
      </c>
      <c r="J58" t="str">
        <f>IF($I58=1,SUM($I$2:I58),"")</f>
        <v/>
      </c>
      <c r="K58">
        <f t="shared" si="1"/>
        <v>1</v>
      </c>
      <c r="L58">
        <f>IF(AND($K58=1,'All Data'!$D58&lt;&gt;"",COUNTIFS($K$2:K57,1,'All Data'!$D$2:$D57,'All Data'!$D58)=0),1,0)</f>
        <v>0</v>
      </c>
      <c r="M58" t="str">
        <f>IF($L58=1,SUM($L$2:L58),"")</f>
        <v/>
      </c>
      <c r="N58">
        <f t="shared" si="2"/>
        <v>1</v>
      </c>
      <c r="O58">
        <f>IF(AND($N58=1,'All Data'!$E58&lt;&gt;"",COUNTIFS($N$2:N57,1,'All Data'!$E$2:$E57,'All Data'!$E58)=0),1,0)</f>
        <v>0</v>
      </c>
      <c r="P58" t="str">
        <f>IF($O58=1,SUM($O$2:O58),"")</f>
        <v/>
      </c>
      <c r="Q58">
        <f t="shared" si="3"/>
        <v>1</v>
      </c>
      <c r="R58">
        <f>IF(AND($Q58=1,'All Data'!$F58&lt;&gt;"",COUNTIFS($Q$2:Q57,1,'All Data'!$F$2:$F57,'All Data'!$F58)=0),1,0)</f>
        <v>0</v>
      </c>
      <c r="S58" t="str">
        <f>IF($R58=1,SUM($R$2:R58),"")</f>
        <v/>
      </c>
      <c r="T58">
        <f t="shared" si="4"/>
        <v>1</v>
      </c>
      <c r="U58">
        <f>IF(AND($T58=1,'All Data'!$G58&lt;&gt;"",COUNTIFS($T$2:T57,1,'All Data'!$G$2:$G57,'All Data'!$G58)=0),1,0)</f>
        <v>1</v>
      </c>
      <c r="V58">
        <f>IF($U58=1,SUM($U$2:U58),"")</f>
        <v>28</v>
      </c>
      <c r="W58">
        <f t="shared" si="5"/>
        <v>0</v>
      </c>
      <c r="X58" t="str">
        <f>IF($W58=1,SUM($W$2:W58),"")</f>
        <v/>
      </c>
      <c r="Z58" t="str">
        <f>IFERROR(INDEX('All Data'!$C$2:$C$419,MATCH(56,$J$2:$J$419,0))&amp;"","")</f>
        <v/>
      </c>
      <c r="AB58" t="str">
        <f>IFERROR(INDEX('All Data'!$D$2:$D$419,MATCH(56,$M$2:$M$419,0))&amp;"","")</f>
        <v/>
      </c>
      <c r="AD58" t="str">
        <f>IFERROR(INDEX('All Data'!$E$2:$E$419,MATCH(56,$P$2:$P$419,0))&amp;"","")</f>
        <v/>
      </c>
      <c r="AF58" t="str">
        <f>IFERROR(INDEX('All Data'!$F$2:$F$419,MATCH(56,$S$2:$S$419,0))&amp;"","")</f>
        <v/>
      </c>
      <c r="AH58" t="str">
        <f>IFERROR(INDEX('All Data'!$G$2:$G$419,MATCH(56,$V$2:$V$419,0))&amp;"","")</f>
        <v>Retrofit insulation</v>
      </c>
    </row>
    <row r="59" spans="1:34" x14ac:dyDescent="0.3">
      <c r="A59">
        <f>IF(OR($BA1="Any",$BA1=""),1,IF('All Data'!$B59=$BA1,1,0))</f>
        <v>1</v>
      </c>
      <c r="B59">
        <f>IF(OR($BA2="Any",$BA2=""),1,IF('All Data'!$C59=$BA2,1,0))</f>
        <v>1</v>
      </c>
      <c r="C59">
        <f>IF(OR($BA3="Any",$BA3=""),1,IF('All Data'!$D59=$BA3,1,0))</f>
        <v>1</v>
      </c>
      <c r="D59">
        <f>IF(OR($BA4="Any",$BA4=""),1,IF('All Data'!$E59=$BA4,1,0))</f>
        <v>1</v>
      </c>
      <c r="E59">
        <f>IF(OR($BA5="Any",$BA5=""),1,IF('All Data'!$F59=$BA5,1,0))</f>
        <v>1</v>
      </c>
      <c r="F59">
        <f>IF(OR($BA6="Any",$BA6=""),1,IF('All Data'!$G59=$BA6,1,0))</f>
        <v>0</v>
      </c>
      <c r="G59">
        <f>IF(AND(OR($BA$8="",ISNUMBER(SEARCH($BA$8,'All Data'!$K59&amp;" "&amp;'All Data'!$M59))),OR($BA$9="",ISNUMBER(SEARCH($BA$9,'All Data'!$K59&amp;" "&amp;'All Data'!$M59))),OR($BA$10="",ISNUMBER(SEARCH($BA$10,'All Data'!$K59&amp;" "&amp;'All Data'!$M59))),OR($BA$11="",ISNUMBER(SEARCH($BA$11,'All Data'!$K59&amp;" "&amp;'All Data'!$M59))),OR($BA$12="",ISNUMBER(SEARCH($BA$12,'All Data'!$K59&amp;" "&amp;'All Data'!$M59))),OR($BA$13="",ISNUMBER(SEARCH($BA$13,'All Data'!$K59&amp;" "&amp;'All Data'!$M59))),OR($BA$14="",ISNUMBER(SEARCH($BA$14,'All Data'!$K59&amp;" "&amp;'All Data'!$M59))),OR($BA$15="",ISNUMBER(SEARCH($BA$15,'All Data'!$K59&amp;" "&amp;'All Data'!$M59)))),1,0)</f>
        <v>1</v>
      </c>
      <c r="H59">
        <f t="shared" si="0"/>
        <v>1</v>
      </c>
      <c r="I59">
        <f>IF(AND($H59=1,'All Data'!$C59&lt;&gt;"",COUNTIFS($H$2:H58,1,'All Data'!$C$2:$C58,'All Data'!$C59)=0),1,0)</f>
        <v>0</v>
      </c>
      <c r="J59" t="str">
        <f>IF($I59=1,SUM($I$2:I59),"")</f>
        <v/>
      </c>
      <c r="K59">
        <f t="shared" si="1"/>
        <v>1</v>
      </c>
      <c r="L59">
        <f>IF(AND($K59=1,'All Data'!$D59&lt;&gt;"",COUNTIFS($K$2:K58,1,'All Data'!$D$2:$D58,'All Data'!$D59)=0),1,0)</f>
        <v>0</v>
      </c>
      <c r="M59" t="str">
        <f>IF($L59=1,SUM($L$2:L59),"")</f>
        <v/>
      </c>
      <c r="N59">
        <f t="shared" si="2"/>
        <v>1</v>
      </c>
      <c r="O59">
        <f>IF(AND($N59=1,'All Data'!$E59&lt;&gt;"",COUNTIFS($N$2:N58,1,'All Data'!$E$2:$E58,'All Data'!$E59)=0),1,0)</f>
        <v>0</v>
      </c>
      <c r="P59" t="str">
        <f>IF($O59=1,SUM($O$2:O59),"")</f>
        <v/>
      </c>
      <c r="Q59">
        <f t="shared" si="3"/>
        <v>1</v>
      </c>
      <c r="R59">
        <f>IF(AND($Q59=1,'All Data'!$F59&lt;&gt;"",COUNTIFS($Q$2:Q58,1,'All Data'!$F$2:$F58,'All Data'!$F59)=0),1,0)</f>
        <v>0</v>
      </c>
      <c r="S59" t="str">
        <f>IF($R59=1,SUM($R$2:R59),"")</f>
        <v/>
      </c>
      <c r="T59">
        <f t="shared" si="4"/>
        <v>1</v>
      </c>
      <c r="U59">
        <f>IF(AND($T59=1,'All Data'!$G59&lt;&gt;"",COUNTIFS($T$2:T58,1,'All Data'!$G$2:$G58,'All Data'!$G59)=0),1,0)</f>
        <v>1</v>
      </c>
      <c r="V59">
        <f>IF($U59=1,SUM($U$2:U59),"")</f>
        <v>29</v>
      </c>
      <c r="W59">
        <f t="shared" si="5"/>
        <v>0</v>
      </c>
      <c r="X59" t="str">
        <f>IF($W59=1,SUM($W$2:W59),"")</f>
        <v/>
      </c>
      <c r="Z59" t="str">
        <f>IFERROR(INDEX('All Data'!$C$2:$C$419,MATCH(57,$J$2:$J$419,0))&amp;"","")</f>
        <v/>
      </c>
      <c r="AB59" t="str">
        <f>IFERROR(INDEX('All Data'!$D$2:$D$419,MATCH(57,$M$2:$M$419,0))&amp;"","")</f>
        <v/>
      </c>
      <c r="AD59" t="str">
        <f>IFERROR(INDEX('All Data'!$E$2:$E$419,MATCH(57,$P$2:$P$419,0))&amp;"","")</f>
        <v/>
      </c>
      <c r="AF59" t="str">
        <f>IFERROR(INDEX('All Data'!$F$2:$F$419,MATCH(57,$S$2:$S$419,0))&amp;"","")</f>
        <v/>
      </c>
      <c r="AH59" t="str">
        <f>IFERROR(INDEX('All Data'!$G$2:$G$419,MATCH(57,$V$2:$V$419,0))&amp;"","")</f>
        <v/>
      </c>
    </row>
    <row r="60" spans="1:34" x14ac:dyDescent="0.3">
      <c r="A60">
        <f>IF(OR($BA1="Any",$BA1=""),1,IF('All Data'!$B60=$BA1,1,0))</f>
        <v>1</v>
      </c>
      <c r="B60">
        <f>IF(OR($BA2="Any",$BA2=""),1,IF('All Data'!$C60=$BA2,1,0))</f>
        <v>1</v>
      </c>
      <c r="C60">
        <f>IF(OR($BA3="Any",$BA3=""),1,IF('All Data'!$D60=$BA3,1,0))</f>
        <v>1</v>
      </c>
      <c r="D60">
        <f>IF(OR($BA4="Any",$BA4=""),1,IF('All Data'!$E60=$BA4,1,0))</f>
        <v>1</v>
      </c>
      <c r="E60">
        <f>IF(OR($BA5="Any",$BA5=""),1,IF('All Data'!$F60=$BA5,1,0))</f>
        <v>1</v>
      </c>
      <c r="F60">
        <f>IF(OR($BA6="Any",$BA6=""),1,IF('All Data'!$G60=$BA6,1,0))</f>
        <v>0</v>
      </c>
      <c r="G60">
        <f>IF(AND(OR($BA$8="",ISNUMBER(SEARCH($BA$8,'All Data'!$K60&amp;" "&amp;'All Data'!$M60))),OR($BA$9="",ISNUMBER(SEARCH($BA$9,'All Data'!$K60&amp;" "&amp;'All Data'!$M60))),OR($BA$10="",ISNUMBER(SEARCH($BA$10,'All Data'!$K60&amp;" "&amp;'All Data'!$M60))),OR($BA$11="",ISNUMBER(SEARCH($BA$11,'All Data'!$K60&amp;" "&amp;'All Data'!$M60))),OR($BA$12="",ISNUMBER(SEARCH($BA$12,'All Data'!$K60&amp;" "&amp;'All Data'!$M60))),OR($BA$13="",ISNUMBER(SEARCH($BA$13,'All Data'!$K60&amp;" "&amp;'All Data'!$M60))),OR($BA$14="",ISNUMBER(SEARCH($BA$14,'All Data'!$K60&amp;" "&amp;'All Data'!$M60))),OR($BA$15="",ISNUMBER(SEARCH($BA$15,'All Data'!$K60&amp;" "&amp;'All Data'!$M60)))),1,0)</f>
        <v>1</v>
      </c>
      <c r="H60">
        <f t="shared" si="0"/>
        <v>1</v>
      </c>
      <c r="I60">
        <f>IF(AND($H60=1,'All Data'!$C60&lt;&gt;"",COUNTIFS($H$2:H59,1,'All Data'!$C$2:$C59,'All Data'!$C60)=0),1,0)</f>
        <v>1</v>
      </c>
      <c r="J60">
        <f>IF($I60=1,SUM($I$2:I60),"")</f>
        <v>4</v>
      </c>
      <c r="K60">
        <f t="shared" si="1"/>
        <v>1</v>
      </c>
      <c r="L60">
        <f>IF(AND($K60=1,'All Data'!$D60&lt;&gt;"",COUNTIFS($K$2:K59,1,'All Data'!$D$2:$D59,'All Data'!$D60)=0),1,0)</f>
        <v>1</v>
      </c>
      <c r="M60">
        <f>IF($L60=1,SUM($L$2:L60),"")</f>
        <v>17</v>
      </c>
      <c r="N60">
        <f t="shared" si="2"/>
        <v>1</v>
      </c>
      <c r="O60">
        <f>IF(AND($N60=1,'All Data'!$E60&lt;&gt;"",COUNTIFS($N$2:N59,1,'All Data'!$E$2:$E59,'All Data'!$E60)=0),1,0)</f>
        <v>0</v>
      </c>
      <c r="P60" t="str">
        <f>IF($O60=1,SUM($O$2:O60),"")</f>
        <v/>
      </c>
      <c r="Q60">
        <f t="shared" si="3"/>
        <v>1</v>
      </c>
      <c r="R60">
        <f>IF(AND($Q60=1,'All Data'!$F60&lt;&gt;"",COUNTIFS($Q$2:Q59,1,'All Data'!$F$2:$F59,'All Data'!$F60)=0),1,0)</f>
        <v>0</v>
      </c>
      <c r="S60" t="str">
        <f>IF($R60=1,SUM($R$2:R60),"")</f>
        <v/>
      </c>
      <c r="T60">
        <f t="shared" si="4"/>
        <v>1</v>
      </c>
      <c r="U60">
        <f>IF(AND($T60=1,'All Data'!$G60&lt;&gt;"",COUNTIFS($T$2:T59,1,'All Data'!$G$2:$G59,'All Data'!$G60)=0),1,0)</f>
        <v>1</v>
      </c>
      <c r="V60">
        <f>IF($U60=1,SUM($U$2:U60),"")</f>
        <v>30</v>
      </c>
      <c r="W60">
        <f t="shared" si="5"/>
        <v>0</v>
      </c>
      <c r="X60" t="str">
        <f>IF($W60=1,SUM($W$2:W60),"")</f>
        <v/>
      </c>
      <c r="Z60" t="str">
        <f>IFERROR(INDEX('All Data'!$C$2:$C$419,MATCH(58,$J$2:$J$419,0))&amp;"","")</f>
        <v/>
      </c>
      <c r="AB60" t="str">
        <f>IFERROR(INDEX('All Data'!$D$2:$D$419,MATCH(58,$M$2:$M$419,0))&amp;"","")</f>
        <v/>
      </c>
      <c r="AD60" t="str">
        <f>IFERROR(INDEX('All Data'!$E$2:$E$419,MATCH(58,$P$2:$P$419,0))&amp;"","")</f>
        <v/>
      </c>
      <c r="AF60" t="str">
        <f>IFERROR(INDEX('All Data'!$F$2:$F$419,MATCH(58,$S$2:$S$419,0))&amp;"","")</f>
        <v/>
      </c>
      <c r="AH60" t="str">
        <f>IFERROR(INDEX('All Data'!$G$2:$G$419,MATCH(58,$V$2:$V$419,0))&amp;"","")</f>
        <v/>
      </c>
    </row>
    <row r="61" spans="1:34" x14ac:dyDescent="0.3">
      <c r="A61">
        <f>IF(OR($BA1="Any",$BA1=""),1,IF('All Data'!$B61=$BA1,1,0))</f>
        <v>1</v>
      </c>
      <c r="B61">
        <f>IF(OR($BA2="Any",$BA2=""),1,IF('All Data'!$C61=$BA2,1,0))</f>
        <v>1</v>
      </c>
      <c r="C61">
        <f>IF(OR($BA3="Any",$BA3=""),1,IF('All Data'!$D61=$BA3,1,0))</f>
        <v>1</v>
      </c>
      <c r="D61">
        <f>IF(OR($BA4="Any",$BA4=""),1,IF('All Data'!$E61=$BA4,1,0))</f>
        <v>1</v>
      </c>
      <c r="E61">
        <f>IF(OR($BA5="Any",$BA5=""),1,IF('All Data'!$F61=$BA5,1,0))</f>
        <v>1</v>
      </c>
      <c r="F61">
        <f>IF(OR($BA6="Any",$BA6=""),1,IF('All Data'!$G61=$BA6,1,0))</f>
        <v>0</v>
      </c>
      <c r="G61">
        <f>IF(AND(OR($BA$8="",ISNUMBER(SEARCH($BA$8,'All Data'!$K61&amp;" "&amp;'All Data'!$M61))),OR($BA$9="",ISNUMBER(SEARCH($BA$9,'All Data'!$K61&amp;" "&amp;'All Data'!$M61))),OR($BA$10="",ISNUMBER(SEARCH($BA$10,'All Data'!$K61&amp;" "&amp;'All Data'!$M61))),OR($BA$11="",ISNUMBER(SEARCH($BA$11,'All Data'!$K61&amp;" "&amp;'All Data'!$M61))),OR($BA$12="",ISNUMBER(SEARCH($BA$12,'All Data'!$K61&amp;" "&amp;'All Data'!$M61))),OR($BA$13="",ISNUMBER(SEARCH($BA$13,'All Data'!$K61&amp;" "&amp;'All Data'!$M61))),OR($BA$14="",ISNUMBER(SEARCH($BA$14,'All Data'!$K61&amp;" "&amp;'All Data'!$M61))),OR($BA$15="",ISNUMBER(SEARCH($BA$15,'All Data'!$K61&amp;" "&amp;'All Data'!$M61)))),1,0)</f>
        <v>1</v>
      </c>
      <c r="H61">
        <f t="shared" si="0"/>
        <v>1</v>
      </c>
      <c r="I61">
        <f>IF(AND($H61=1,'All Data'!$C61&lt;&gt;"",COUNTIFS($H$2:H60,1,'All Data'!$C$2:$C60,'All Data'!$C61)=0),1,0)</f>
        <v>0</v>
      </c>
      <c r="J61" t="str">
        <f>IF($I61=1,SUM($I$2:I61),"")</f>
        <v/>
      </c>
      <c r="K61">
        <f t="shared" si="1"/>
        <v>1</v>
      </c>
      <c r="L61">
        <f>IF(AND($K61=1,'All Data'!$D61&lt;&gt;"",COUNTIFS($K$2:K60,1,'All Data'!$D$2:$D60,'All Data'!$D61)=0),1,0)</f>
        <v>0</v>
      </c>
      <c r="M61" t="str">
        <f>IF($L61=1,SUM($L$2:L61),"")</f>
        <v/>
      </c>
      <c r="N61">
        <f t="shared" si="2"/>
        <v>1</v>
      </c>
      <c r="O61">
        <f>IF(AND($N61=1,'All Data'!$E61&lt;&gt;"",COUNTIFS($N$2:N60,1,'All Data'!$E$2:$E60,'All Data'!$E61)=0),1,0)</f>
        <v>0</v>
      </c>
      <c r="P61" t="str">
        <f>IF($O61=1,SUM($O$2:O61),"")</f>
        <v/>
      </c>
      <c r="Q61">
        <f t="shared" si="3"/>
        <v>1</v>
      </c>
      <c r="R61">
        <f>IF(AND($Q61=1,'All Data'!$F61&lt;&gt;"",COUNTIFS($Q$2:Q60,1,'All Data'!$F$2:$F60,'All Data'!$F61)=0),1,0)</f>
        <v>0</v>
      </c>
      <c r="S61" t="str">
        <f>IF($R61=1,SUM($R$2:R61),"")</f>
        <v/>
      </c>
      <c r="T61">
        <f t="shared" si="4"/>
        <v>1</v>
      </c>
      <c r="U61">
        <f>IF(AND($T61=1,'All Data'!$G61&lt;&gt;"",COUNTIFS($T$2:T60,1,'All Data'!$G$2:$G60,'All Data'!$G61)=0),1,0)</f>
        <v>1</v>
      </c>
      <c r="V61">
        <f>IF($U61=1,SUM($U$2:U61),"")</f>
        <v>31</v>
      </c>
      <c r="W61">
        <f t="shared" si="5"/>
        <v>0</v>
      </c>
      <c r="X61" t="str">
        <f>IF($W61=1,SUM($W$2:W61),"")</f>
        <v/>
      </c>
      <c r="Z61" t="str">
        <f>IFERROR(INDEX('All Data'!$C$2:$C$419,MATCH(59,$J$2:$J$419,0))&amp;"","")</f>
        <v/>
      </c>
      <c r="AB61" t="str">
        <f>IFERROR(INDEX('All Data'!$D$2:$D$419,MATCH(59,$M$2:$M$419,0))&amp;"","")</f>
        <v/>
      </c>
      <c r="AD61" t="str">
        <f>IFERROR(INDEX('All Data'!$E$2:$E$419,MATCH(59,$P$2:$P$419,0))&amp;"","")</f>
        <v/>
      </c>
      <c r="AF61" t="str">
        <f>IFERROR(INDEX('All Data'!$F$2:$F$419,MATCH(59,$S$2:$S$419,0))&amp;"","")</f>
        <v/>
      </c>
      <c r="AH61" t="str">
        <f>IFERROR(INDEX('All Data'!$G$2:$G$419,MATCH(59,$V$2:$V$419,0))&amp;"","")</f>
        <v/>
      </c>
    </row>
    <row r="62" spans="1:34" x14ac:dyDescent="0.3">
      <c r="A62">
        <f>IF(OR($BA1="Any",$BA1=""),1,IF('All Data'!$B62=$BA1,1,0))</f>
        <v>1</v>
      </c>
      <c r="B62">
        <f>IF(OR($BA2="Any",$BA2=""),1,IF('All Data'!$C62=$BA2,1,0))</f>
        <v>1</v>
      </c>
      <c r="C62">
        <f>IF(OR($BA3="Any",$BA3=""),1,IF('All Data'!$D62=$BA3,1,0))</f>
        <v>1</v>
      </c>
      <c r="D62">
        <f>IF(OR($BA4="Any",$BA4=""),1,IF('All Data'!$E62=$BA4,1,0))</f>
        <v>1</v>
      </c>
      <c r="E62">
        <f>IF(OR($BA5="Any",$BA5=""),1,IF('All Data'!$F62=$BA5,1,0))</f>
        <v>1</v>
      </c>
      <c r="F62">
        <f>IF(OR($BA6="Any",$BA6=""),1,IF('All Data'!$G62=$BA6,1,0))</f>
        <v>0</v>
      </c>
      <c r="G62">
        <f>IF(AND(OR($BA$8="",ISNUMBER(SEARCH($BA$8,'All Data'!$K62&amp;" "&amp;'All Data'!$M62))),OR($BA$9="",ISNUMBER(SEARCH($BA$9,'All Data'!$K62&amp;" "&amp;'All Data'!$M62))),OR($BA$10="",ISNUMBER(SEARCH($BA$10,'All Data'!$K62&amp;" "&amp;'All Data'!$M62))),OR($BA$11="",ISNUMBER(SEARCH($BA$11,'All Data'!$K62&amp;" "&amp;'All Data'!$M62))),OR($BA$12="",ISNUMBER(SEARCH($BA$12,'All Data'!$K62&amp;" "&amp;'All Data'!$M62))),OR($BA$13="",ISNUMBER(SEARCH($BA$13,'All Data'!$K62&amp;" "&amp;'All Data'!$M62))),OR($BA$14="",ISNUMBER(SEARCH($BA$14,'All Data'!$K62&amp;" "&amp;'All Data'!$M62))),OR($BA$15="",ISNUMBER(SEARCH($BA$15,'All Data'!$K62&amp;" "&amp;'All Data'!$M62)))),1,0)</f>
        <v>1</v>
      </c>
      <c r="H62">
        <f t="shared" si="0"/>
        <v>1</v>
      </c>
      <c r="I62">
        <f>IF(AND($H62=1,'All Data'!$C62&lt;&gt;"",COUNTIFS($H$2:H61,1,'All Data'!$C$2:$C61,'All Data'!$C62)=0),1,0)</f>
        <v>0</v>
      </c>
      <c r="J62" t="str">
        <f>IF($I62=1,SUM($I$2:I62),"")</f>
        <v/>
      </c>
      <c r="K62">
        <f t="shared" si="1"/>
        <v>1</v>
      </c>
      <c r="L62">
        <f>IF(AND($K62=1,'All Data'!$D62&lt;&gt;"",COUNTIFS($K$2:K61,1,'All Data'!$D$2:$D61,'All Data'!$D62)=0),1,0)</f>
        <v>0</v>
      </c>
      <c r="M62" t="str">
        <f>IF($L62=1,SUM($L$2:L62),"")</f>
        <v/>
      </c>
      <c r="N62">
        <f t="shared" si="2"/>
        <v>1</v>
      </c>
      <c r="O62">
        <f>IF(AND($N62=1,'All Data'!$E62&lt;&gt;"",COUNTIFS($N$2:N61,1,'All Data'!$E$2:$E61,'All Data'!$E62)=0),1,0)</f>
        <v>0</v>
      </c>
      <c r="P62" t="str">
        <f>IF($O62=1,SUM($O$2:O62),"")</f>
        <v/>
      </c>
      <c r="Q62">
        <f t="shared" si="3"/>
        <v>1</v>
      </c>
      <c r="R62">
        <f>IF(AND($Q62=1,'All Data'!$F62&lt;&gt;"",COUNTIFS($Q$2:Q61,1,'All Data'!$F$2:$F61,'All Data'!$F62)=0),1,0)</f>
        <v>0</v>
      </c>
      <c r="S62" t="str">
        <f>IF($R62=1,SUM($R$2:R62),"")</f>
        <v/>
      </c>
      <c r="T62">
        <f t="shared" si="4"/>
        <v>1</v>
      </c>
      <c r="U62">
        <f>IF(AND($T62=1,'All Data'!$G62&lt;&gt;"",COUNTIFS($T$2:T61,1,'All Data'!$G$2:$G61,'All Data'!$G62)=0),1,0)</f>
        <v>1</v>
      </c>
      <c r="V62">
        <f>IF($U62=1,SUM($U$2:U62),"")</f>
        <v>32</v>
      </c>
      <c r="W62">
        <f t="shared" si="5"/>
        <v>0</v>
      </c>
      <c r="X62" t="str">
        <f>IF($W62=1,SUM($W$2:W62),"")</f>
        <v/>
      </c>
      <c r="Z62" t="str">
        <f>IFERROR(INDEX('All Data'!$C$2:$C$419,MATCH(60,$J$2:$J$419,0))&amp;"","")</f>
        <v/>
      </c>
      <c r="AB62" t="str">
        <f>IFERROR(INDEX('All Data'!$D$2:$D$419,MATCH(60,$M$2:$M$419,0))&amp;"","")</f>
        <v/>
      </c>
      <c r="AD62" t="str">
        <f>IFERROR(INDEX('All Data'!$E$2:$E$419,MATCH(60,$P$2:$P$419,0))&amp;"","")</f>
        <v/>
      </c>
      <c r="AF62" t="str">
        <f>IFERROR(INDEX('All Data'!$F$2:$F$419,MATCH(60,$S$2:$S$419,0))&amp;"","")</f>
        <v/>
      </c>
      <c r="AH62" t="str">
        <f>IFERROR(INDEX('All Data'!$G$2:$G$419,MATCH(60,$V$2:$V$419,0))&amp;"","")</f>
        <v/>
      </c>
    </row>
    <row r="63" spans="1:34" x14ac:dyDescent="0.3">
      <c r="A63">
        <f>IF(OR($BA1="Any",$BA1=""),1,IF('All Data'!$B63=$BA1,1,0))</f>
        <v>1</v>
      </c>
      <c r="B63">
        <f>IF(OR($BA2="Any",$BA2=""),1,IF('All Data'!$C63=$BA2,1,0))</f>
        <v>1</v>
      </c>
      <c r="C63">
        <f>IF(OR($BA3="Any",$BA3=""),1,IF('All Data'!$D63=$BA3,1,0))</f>
        <v>1</v>
      </c>
      <c r="D63">
        <f>IF(OR($BA4="Any",$BA4=""),1,IF('All Data'!$E63=$BA4,1,0))</f>
        <v>1</v>
      </c>
      <c r="E63">
        <f>IF(OR($BA5="Any",$BA5=""),1,IF('All Data'!$F63=$BA5,1,0))</f>
        <v>1</v>
      </c>
      <c r="F63">
        <f>IF(OR($BA6="Any",$BA6=""),1,IF('All Data'!$G63=$BA6,1,0))</f>
        <v>0</v>
      </c>
      <c r="G63">
        <f>IF(AND(OR($BA$8="",ISNUMBER(SEARCH($BA$8,'All Data'!$K63&amp;" "&amp;'All Data'!$M63))),OR($BA$9="",ISNUMBER(SEARCH($BA$9,'All Data'!$K63&amp;" "&amp;'All Data'!$M63))),OR($BA$10="",ISNUMBER(SEARCH($BA$10,'All Data'!$K63&amp;" "&amp;'All Data'!$M63))),OR($BA$11="",ISNUMBER(SEARCH($BA$11,'All Data'!$K63&amp;" "&amp;'All Data'!$M63))),OR($BA$12="",ISNUMBER(SEARCH($BA$12,'All Data'!$K63&amp;" "&amp;'All Data'!$M63))),OR($BA$13="",ISNUMBER(SEARCH($BA$13,'All Data'!$K63&amp;" "&amp;'All Data'!$M63))),OR($BA$14="",ISNUMBER(SEARCH($BA$14,'All Data'!$K63&amp;" "&amp;'All Data'!$M63))),OR($BA$15="",ISNUMBER(SEARCH($BA$15,'All Data'!$K63&amp;" "&amp;'All Data'!$M63)))),1,0)</f>
        <v>1</v>
      </c>
      <c r="H63">
        <f t="shared" si="0"/>
        <v>1</v>
      </c>
      <c r="I63">
        <f>IF(AND($H63=1,'All Data'!$C63&lt;&gt;"",COUNTIFS($H$2:H62,1,'All Data'!$C$2:$C62,'All Data'!$C63)=0),1,0)</f>
        <v>0</v>
      </c>
      <c r="J63" t="str">
        <f>IF($I63=1,SUM($I$2:I63),"")</f>
        <v/>
      </c>
      <c r="K63">
        <f t="shared" si="1"/>
        <v>1</v>
      </c>
      <c r="L63">
        <f>IF(AND($K63=1,'All Data'!$D63&lt;&gt;"",COUNTIFS($K$2:K62,1,'All Data'!$D$2:$D62,'All Data'!$D63)=0),1,0)</f>
        <v>0</v>
      </c>
      <c r="M63" t="str">
        <f>IF($L63=1,SUM($L$2:L63),"")</f>
        <v/>
      </c>
      <c r="N63">
        <f t="shared" si="2"/>
        <v>1</v>
      </c>
      <c r="O63">
        <f>IF(AND($N63=1,'All Data'!$E63&lt;&gt;"",COUNTIFS($N$2:N62,1,'All Data'!$E$2:$E62,'All Data'!$E63)=0),1,0)</f>
        <v>0</v>
      </c>
      <c r="P63" t="str">
        <f>IF($O63=1,SUM($O$2:O63),"")</f>
        <v/>
      </c>
      <c r="Q63">
        <f t="shared" si="3"/>
        <v>1</v>
      </c>
      <c r="R63">
        <f>IF(AND($Q63=1,'All Data'!$F63&lt;&gt;"",COUNTIFS($Q$2:Q62,1,'All Data'!$F$2:$F62,'All Data'!$F63)=0),1,0)</f>
        <v>0</v>
      </c>
      <c r="S63" t="str">
        <f>IF($R63=1,SUM($R$2:R63),"")</f>
        <v/>
      </c>
      <c r="T63">
        <f t="shared" si="4"/>
        <v>1</v>
      </c>
      <c r="U63">
        <f>IF(AND($T63=1,'All Data'!$G63&lt;&gt;"",COUNTIFS($T$2:T62,1,'All Data'!$G$2:$G62,'All Data'!$G63)=0),1,0)</f>
        <v>1</v>
      </c>
      <c r="V63">
        <f>IF($U63=1,SUM($U$2:U63),"")</f>
        <v>33</v>
      </c>
      <c r="W63">
        <f t="shared" si="5"/>
        <v>0</v>
      </c>
      <c r="X63" t="str">
        <f>IF($W63=1,SUM($W$2:W63),"")</f>
        <v/>
      </c>
      <c r="Z63" t="str">
        <f>IFERROR(INDEX('All Data'!$C$2:$C$419,MATCH(61,$J$2:$J$419,0))&amp;"","")</f>
        <v/>
      </c>
      <c r="AB63" t="str">
        <f>IFERROR(INDEX('All Data'!$D$2:$D$419,MATCH(61,$M$2:$M$419,0))&amp;"","")</f>
        <v/>
      </c>
      <c r="AD63" t="str">
        <f>IFERROR(INDEX('All Data'!$E$2:$E$419,MATCH(61,$P$2:$P$419,0))&amp;"","")</f>
        <v/>
      </c>
      <c r="AF63" t="str">
        <f>IFERROR(INDEX('All Data'!$F$2:$F$419,MATCH(61,$S$2:$S$419,0))&amp;"","")</f>
        <v/>
      </c>
      <c r="AH63" t="str">
        <f>IFERROR(INDEX('All Data'!$G$2:$G$419,MATCH(61,$V$2:$V$419,0))&amp;"","")</f>
        <v/>
      </c>
    </row>
    <row r="64" spans="1:34" x14ac:dyDescent="0.3">
      <c r="A64">
        <f>IF(OR($BA1="Any",$BA1=""),1,IF('All Data'!$B64=$BA1,1,0))</f>
        <v>1</v>
      </c>
      <c r="B64">
        <f>IF(OR($BA2="Any",$BA2=""),1,IF('All Data'!$C64=$BA2,1,0))</f>
        <v>1</v>
      </c>
      <c r="C64">
        <f>IF(OR($BA3="Any",$BA3=""),1,IF('All Data'!$D64=$BA3,1,0))</f>
        <v>1</v>
      </c>
      <c r="D64">
        <f>IF(OR($BA4="Any",$BA4=""),1,IF('All Data'!$E64=$BA4,1,0))</f>
        <v>1</v>
      </c>
      <c r="E64">
        <f>IF(OR($BA5="Any",$BA5=""),1,IF('All Data'!$F64=$BA5,1,0))</f>
        <v>1</v>
      </c>
      <c r="F64">
        <f>IF(OR($BA6="Any",$BA6=""),1,IF('All Data'!$G64=$BA6,1,0))</f>
        <v>0</v>
      </c>
      <c r="G64">
        <f>IF(AND(OR($BA$8="",ISNUMBER(SEARCH($BA$8,'All Data'!$K64&amp;" "&amp;'All Data'!$M64))),OR($BA$9="",ISNUMBER(SEARCH($BA$9,'All Data'!$K64&amp;" "&amp;'All Data'!$M64))),OR($BA$10="",ISNUMBER(SEARCH($BA$10,'All Data'!$K64&amp;" "&amp;'All Data'!$M64))),OR($BA$11="",ISNUMBER(SEARCH($BA$11,'All Data'!$K64&amp;" "&amp;'All Data'!$M64))),OR($BA$12="",ISNUMBER(SEARCH($BA$12,'All Data'!$K64&amp;" "&amp;'All Data'!$M64))),OR($BA$13="",ISNUMBER(SEARCH($BA$13,'All Data'!$K64&amp;" "&amp;'All Data'!$M64))),OR($BA$14="",ISNUMBER(SEARCH($BA$14,'All Data'!$K64&amp;" "&amp;'All Data'!$M64))),OR($BA$15="",ISNUMBER(SEARCH($BA$15,'All Data'!$K64&amp;" "&amp;'All Data'!$M64)))),1,0)</f>
        <v>1</v>
      </c>
      <c r="H64">
        <f t="shared" si="0"/>
        <v>1</v>
      </c>
      <c r="I64">
        <f>IF(AND($H64=1,'All Data'!$C64&lt;&gt;"",COUNTIFS($H$2:H63,1,'All Data'!$C$2:$C63,'All Data'!$C64)=0),1,0)</f>
        <v>0</v>
      </c>
      <c r="J64" t="str">
        <f>IF($I64=1,SUM($I$2:I64),"")</f>
        <v/>
      </c>
      <c r="K64">
        <f t="shared" si="1"/>
        <v>1</v>
      </c>
      <c r="L64">
        <f>IF(AND($K64=1,'All Data'!$D64&lt;&gt;"",COUNTIFS($K$2:K63,1,'All Data'!$D$2:$D63,'All Data'!$D64)=0),1,0)</f>
        <v>0</v>
      </c>
      <c r="M64" t="str">
        <f>IF($L64=1,SUM($L$2:L64),"")</f>
        <v/>
      </c>
      <c r="N64">
        <f t="shared" si="2"/>
        <v>1</v>
      </c>
      <c r="O64">
        <f>IF(AND($N64=1,'All Data'!$E64&lt;&gt;"",COUNTIFS($N$2:N63,1,'All Data'!$E$2:$E63,'All Data'!$E64)=0),1,0)</f>
        <v>0</v>
      </c>
      <c r="P64" t="str">
        <f>IF($O64=1,SUM($O$2:O64),"")</f>
        <v/>
      </c>
      <c r="Q64">
        <f t="shared" si="3"/>
        <v>1</v>
      </c>
      <c r="R64">
        <f>IF(AND($Q64=1,'All Data'!$F64&lt;&gt;"",COUNTIFS($Q$2:Q63,1,'All Data'!$F$2:$F63,'All Data'!$F64)=0),1,0)</f>
        <v>0</v>
      </c>
      <c r="S64" t="str">
        <f>IF($R64=1,SUM($R$2:R64),"")</f>
        <v/>
      </c>
      <c r="T64">
        <f t="shared" si="4"/>
        <v>1</v>
      </c>
      <c r="U64">
        <f>IF(AND($T64=1,'All Data'!$G64&lt;&gt;"",COUNTIFS($T$2:T63,1,'All Data'!$G$2:$G63,'All Data'!$G64)=0),1,0)</f>
        <v>0</v>
      </c>
      <c r="V64" t="str">
        <f>IF($U64=1,SUM($U$2:U64),"")</f>
        <v/>
      </c>
      <c r="W64">
        <f t="shared" si="5"/>
        <v>0</v>
      </c>
      <c r="X64" t="str">
        <f>IF($W64=1,SUM($W$2:W64),"")</f>
        <v/>
      </c>
      <c r="Z64" t="str">
        <f>IFERROR(INDEX('All Data'!$C$2:$C$419,MATCH(62,$J$2:$J$419,0))&amp;"","")</f>
        <v/>
      </c>
      <c r="AB64" t="str">
        <f>IFERROR(INDEX('All Data'!$D$2:$D$419,MATCH(62,$M$2:$M$419,0))&amp;"","")</f>
        <v/>
      </c>
      <c r="AD64" t="str">
        <f>IFERROR(INDEX('All Data'!$E$2:$E$419,MATCH(62,$P$2:$P$419,0))&amp;"","")</f>
        <v/>
      </c>
      <c r="AF64" t="str">
        <f>IFERROR(INDEX('All Data'!$F$2:$F$419,MATCH(62,$S$2:$S$419,0))&amp;"","")</f>
        <v/>
      </c>
      <c r="AH64" t="str">
        <f>IFERROR(INDEX('All Data'!$G$2:$G$419,MATCH(62,$V$2:$V$419,0))&amp;"","")</f>
        <v/>
      </c>
    </row>
    <row r="65" spans="1:34" x14ac:dyDescent="0.3">
      <c r="A65">
        <f>IF(OR($BA1="Any",$BA1=""),1,IF('All Data'!$B65=$BA1,1,0))</f>
        <v>1</v>
      </c>
      <c r="B65">
        <f>IF(OR($BA2="Any",$BA2=""),1,IF('All Data'!$C65=$BA2,1,0))</f>
        <v>1</v>
      </c>
      <c r="C65">
        <f>IF(OR($BA3="Any",$BA3=""),1,IF('All Data'!$D65=$BA3,1,0))</f>
        <v>1</v>
      </c>
      <c r="D65">
        <f>IF(OR($BA4="Any",$BA4=""),1,IF('All Data'!$E65=$BA4,1,0))</f>
        <v>1</v>
      </c>
      <c r="E65">
        <f>IF(OR($BA5="Any",$BA5=""),1,IF('All Data'!$F65=$BA5,1,0))</f>
        <v>1</v>
      </c>
      <c r="F65">
        <f>IF(OR($BA6="Any",$BA6=""),1,IF('All Data'!$G65=$BA6,1,0))</f>
        <v>0</v>
      </c>
      <c r="G65">
        <f>IF(AND(OR($BA$8="",ISNUMBER(SEARCH($BA$8,'All Data'!$K65&amp;" "&amp;'All Data'!$M65))),OR($BA$9="",ISNUMBER(SEARCH($BA$9,'All Data'!$K65&amp;" "&amp;'All Data'!$M65))),OR($BA$10="",ISNUMBER(SEARCH($BA$10,'All Data'!$K65&amp;" "&amp;'All Data'!$M65))),OR($BA$11="",ISNUMBER(SEARCH($BA$11,'All Data'!$K65&amp;" "&amp;'All Data'!$M65))),OR($BA$12="",ISNUMBER(SEARCH($BA$12,'All Data'!$K65&amp;" "&amp;'All Data'!$M65))),OR($BA$13="",ISNUMBER(SEARCH($BA$13,'All Data'!$K65&amp;" "&amp;'All Data'!$M65))),OR($BA$14="",ISNUMBER(SEARCH($BA$14,'All Data'!$K65&amp;" "&amp;'All Data'!$M65))),OR($BA$15="",ISNUMBER(SEARCH($BA$15,'All Data'!$K65&amp;" "&amp;'All Data'!$M65)))),1,0)</f>
        <v>1</v>
      </c>
      <c r="H65">
        <f t="shared" si="0"/>
        <v>1</v>
      </c>
      <c r="I65">
        <f>IF(AND($H65=1,'All Data'!$C65&lt;&gt;"",COUNTIFS($H$2:H64,1,'All Data'!$C$2:$C64,'All Data'!$C65)=0),1,0)</f>
        <v>0</v>
      </c>
      <c r="J65" t="str">
        <f>IF($I65=1,SUM($I$2:I65),"")</f>
        <v/>
      </c>
      <c r="K65">
        <f t="shared" si="1"/>
        <v>1</v>
      </c>
      <c r="L65">
        <f>IF(AND($K65=1,'All Data'!$D65&lt;&gt;"",COUNTIFS($K$2:K64,1,'All Data'!$D$2:$D64,'All Data'!$D65)=0),1,0)</f>
        <v>0</v>
      </c>
      <c r="M65" t="str">
        <f>IF($L65=1,SUM($L$2:L65),"")</f>
        <v/>
      </c>
      <c r="N65">
        <f t="shared" si="2"/>
        <v>1</v>
      </c>
      <c r="O65">
        <f>IF(AND($N65=1,'All Data'!$E65&lt;&gt;"",COUNTIFS($N$2:N64,1,'All Data'!$E$2:$E64,'All Data'!$E65)=0),1,0)</f>
        <v>0</v>
      </c>
      <c r="P65" t="str">
        <f>IF($O65=1,SUM($O$2:O65),"")</f>
        <v/>
      </c>
      <c r="Q65">
        <f t="shared" si="3"/>
        <v>1</v>
      </c>
      <c r="R65">
        <f>IF(AND($Q65=1,'All Data'!$F65&lt;&gt;"",COUNTIFS($Q$2:Q64,1,'All Data'!$F$2:$F64,'All Data'!$F65)=0),1,0)</f>
        <v>0</v>
      </c>
      <c r="S65" t="str">
        <f>IF($R65=1,SUM($R$2:R65),"")</f>
        <v/>
      </c>
      <c r="T65">
        <f t="shared" si="4"/>
        <v>1</v>
      </c>
      <c r="U65">
        <f>IF(AND($T65=1,'All Data'!$G65&lt;&gt;"",COUNTIFS($T$2:T64,1,'All Data'!$G$2:$G64,'All Data'!$G65)=0),1,0)</f>
        <v>0</v>
      </c>
      <c r="V65" t="str">
        <f>IF($U65=1,SUM($U$2:U65),"")</f>
        <v/>
      </c>
      <c r="W65">
        <f t="shared" si="5"/>
        <v>0</v>
      </c>
      <c r="X65" t="str">
        <f>IF($W65=1,SUM($W$2:W65),"")</f>
        <v/>
      </c>
      <c r="Z65" t="str">
        <f>IFERROR(INDEX('All Data'!$C$2:$C$419,MATCH(63,$J$2:$J$419,0))&amp;"","")</f>
        <v/>
      </c>
      <c r="AB65" t="str">
        <f>IFERROR(INDEX('All Data'!$D$2:$D$419,MATCH(63,$M$2:$M$419,0))&amp;"","")</f>
        <v/>
      </c>
      <c r="AD65" t="str">
        <f>IFERROR(INDEX('All Data'!$E$2:$E$419,MATCH(63,$P$2:$P$419,0))&amp;"","")</f>
        <v/>
      </c>
      <c r="AF65" t="str">
        <f>IFERROR(INDEX('All Data'!$F$2:$F$419,MATCH(63,$S$2:$S$419,0))&amp;"","")</f>
        <v/>
      </c>
      <c r="AH65" t="str">
        <f>IFERROR(INDEX('All Data'!$G$2:$G$419,MATCH(63,$V$2:$V$419,0))&amp;"","")</f>
        <v/>
      </c>
    </row>
    <row r="66" spans="1:34" x14ac:dyDescent="0.3">
      <c r="A66">
        <f>IF(OR($BA1="Any",$BA1=""),1,IF('All Data'!$B66=$BA1,1,0))</f>
        <v>1</v>
      </c>
      <c r="B66">
        <f>IF(OR($BA2="Any",$BA2=""),1,IF('All Data'!$C66=$BA2,1,0))</f>
        <v>1</v>
      </c>
      <c r="C66">
        <f>IF(OR($BA3="Any",$BA3=""),1,IF('All Data'!$D66=$BA3,1,0))</f>
        <v>1</v>
      </c>
      <c r="D66">
        <f>IF(OR($BA4="Any",$BA4=""),1,IF('All Data'!$E66=$BA4,1,0))</f>
        <v>1</v>
      </c>
      <c r="E66">
        <f>IF(OR($BA5="Any",$BA5=""),1,IF('All Data'!$F66=$BA5,1,0))</f>
        <v>1</v>
      </c>
      <c r="F66">
        <f>IF(OR($BA6="Any",$BA6=""),1,IF('All Data'!$G66=$BA6,1,0))</f>
        <v>0</v>
      </c>
      <c r="G66">
        <f>IF(AND(OR($BA$8="",ISNUMBER(SEARCH($BA$8,'All Data'!$K66&amp;" "&amp;'All Data'!$M66))),OR($BA$9="",ISNUMBER(SEARCH($BA$9,'All Data'!$K66&amp;" "&amp;'All Data'!$M66))),OR($BA$10="",ISNUMBER(SEARCH($BA$10,'All Data'!$K66&amp;" "&amp;'All Data'!$M66))),OR($BA$11="",ISNUMBER(SEARCH($BA$11,'All Data'!$K66&amp;" "&amp;'All Data'!$M66))),OR($BA$12="",ISNUMBER(SEARCH($BA$12,'All Data'!$K66&amp;" "&amp;'All Data'!$M66))),OR($BA$13="",ISNUMBER(SEARCH($BA$13,'All Data'!$K66&amp;" "&amp;'All Data'!$M66))),OR($BA$14="",ISNUMBER(SEARCH($BA$14,'All Data'!$K66&amp;" "&amp;'All Data'!$M66))),OR($BA$15="",ISNUMBER(SEARCH($BA$15,'All Data'!$K66&amp;" "&amp;'All Data'!$M66)))),1,0)</f>
        <v>1</v>
      </c>
      <c r="H66">
        <f t="shared" ref="H66:H129" si="6">$A66</f>
        <v>1</v>
      </c>
      <c r="I66">
        <f>IF(AND($H66=1,'All Data'!$C66&lt;&gt;"",COUNTIFS($H$2:H65,1,'All Data'!$C$2:$C65,'All Data'!$C66)=0),1,0)</f>
        <v>0</v>
      </c>
      <c r="J66" t="str">
        <f>IF($I66=1,SUM($I$2:I66),"")</f>
        <v/>
      </c>
      <c r="K66">
        <f t="shared" ref="K66:K129" si="7">$A66*$B66</f>
        <v>1</v>
      </c>
      <c r="L66">
        <f>IF(AND($K66=1,'All Data'!$D66&lt;&gt;"",COUNTIFS($K$2:K65,1,'All Data'!$D$2:$D65,'All Data'!$D66)=0),1,0)</f>
        <v>0</v>
      </c>
      <c r="M66" t="str">
        <f>IF($L66=1,SUM($L$2:L66),"")</f>
        <v/>
      </c>
      <c r="N66">
        <f t="shared" ref="N66:N129" si="8">$A66*$B66*$C66</f>
        <v>1</v>
      </c>
      <c r="O66">
        <f>IF(AND($N66=1,'All Data'!$E66&lt;&gt;"",COUNTIFS($N$2:N65,1,'All Data'!$E$2:$E65,'All Data'!$E66)=0),1,0)</f>
        <v>0</v>
      </c>
      <c r="P66" t="str">
        <f>IF($O66=1,SUM($O$2:O66),"")</f>
        <v/>
      </c>
      <c r="Q66">
        <f t="shared" ref="Q66:Q129" si="9">$A66*$B66*$C66*$D66</f>
        <v>1</v>
      </c>
      <c r="R66">
        <f>IF(AND($Q66=1,'All Data'!$F66&lt;&gt;"",COUNTIFS($Q$2:Q65,1,'All Data'!$F$2:$F65,'All Data'!$F66)=0),1,0)</f>
        <v>0</v>
      </c>
      <c r="S66" t="str">
        <f>IF($R66=1,SUM($R$2:R66),"")</f>
        <v/>
      </c>
      <c r="T66">
        <f t="shared" ref="T66:T129" si="10">$A66*$B66*$C66*$D66*$E66</f>
        <v>1</v>
      </c>
      <c r="U66">
        <f>IF(AND($T66=1,'All Data'!$G66&lt;&gt;"",COUNTIFS($T$2:T65,1,'All Data'!$G$2:$G65,'All Data'!$G66)=0),1,0)</f>
        <v>0</v>
      </c>
      <c r="V66" t="str">
        <f>IF($U66=1,SUM($U$2:U66),"")</f>
        <v/>
      </c>
      <c r="W66">
        <f t="shared" ref="W66:W129" si="11">$A66*$B66*$C66*$D66*$E66*$F66*$G66</f>
        <v>0</v>
      </c>
      <c r="X66" t="str">
        <f>IF($W66=1,SUM($W$2:W66),"")</f>
        <v/>
      </c>
      <c r="Z66" t="str">
        <f>IFERROR(INDEX('All Data'!$C$2:$C$419,MATCH(64,$J$2:$J$419,0))&amp;"","")</f>
        <v/>
      </c>
      <c r="AB66" t="str">
        <f>IFERROR(INDEX('All Data'!$D$2:$D$419,MATCH(64,$M$2:$M$419,0))&amp;"","")</f>
        <v/>
      </c>
      <c r="AD66" t="str">
        <f>IFERROR(INDEX('All Data'!$E$2:$E$419,MATCH(64,$P$2:$P$419,0))&amp;"","")</f>
        <v/>
      </c>
      <c r="AF66" t="str">
        <f>IFERROR(INDEX('All Data'!$F$2:$F$419,MATCH(64,$S$2:$S$419,0))&amp;"","")</f>
        <v/>
      </c>
      <c r="AH66" t="str">
        <f>IFERROR(INDEX('All Data'!$G$2:$G$419,MATCH(64,$V$2:$V$419,0))&amp;"","")</f>
        <v/>
      </c>
    </row>
    <row r="67" spans="1:34" x14ac:dyDescent="0.3">
      <c r="A67">
        <f>IF(OR($BA1="Any",$BA1=""),1,IF('All Data'!$B67=$BA1,1,0))</f>
        <v>1</v>
      </c>
      <c r="B67">
        <f>IF(OR($BA2="Any",$BA2=""),1,IF('All Data'!$C67=$BA2,1,0))</f>
        <v>1</v>
      </c>
      <c r="C67">
        <f>IF(OR($BA3="Any",$BA3=""),1,IF('All Data'!$D67=$BA3,1,0))</f>
        <v>1</v>
      </c>
      <c r="D67">
        <f>IF(OR($BA4="Any",$BA4=""),1,IF('All Data'!$E67=$BA4,1,0))</f>
        <v>1</v>
      </c>
      <c r="E67">
        <f>IF(OR($BA5="Any",$BA5=""),1,IF('All Data'!$F67=$BA5,1,0))</f>
        <v>1</v>
      </c>
      <c r="F67">
        <f>IF(OR($BA6="Any",$BA6=""),1,IF('All Data'!$G67=$BA6,1,0))</f>
        <v>0</v>
      </c>
      <c r="G67">
        <f>IF(AND(OR($BA$8="",ISNUMBER(SEARCH($BA$8,'All Data'!$K67&amp;" "&amp;'All Data'!$M67))),OR($BA$9="",ISNUMBER(SEARCH($BA$9,'All Data'!$K67&amp;" "&amp;'All Data'!$M67))),OR($BA$10="",ISNUMBER(SEARCH($BA$10,'All Data'!$K67&amp;" "&amp;'All Data'!$M67))),OR($BA$11="",ISNUMBER(SEARCH($BA$11,'All Data'!$K67&amp;" "&amp;'All Data'!$M67))),OR($BA$12="",ISNUMBER(SEARCH($BA$12,'All Data'!$K67&amp;" "&amp;'All Data'!$M67))),OR($BA$13="",ISNUMBER(SEARCH($BA$13,'All Data'!$K67&amp;" "&amp;'All Data'!$M67))),OR($BA$14="",ISNUMBER(SEARCH($BA$14,'All Data'!$K67&amp;" "&amp;'All Data'!$M67))),OR($BA$15="",ISNUMBER(SEARCH($BA$15,'All Data'!$K67&amp;" "&amp;'All Data'!$M67)))),1,0)</f>
        <v>1</v>
      </c>
      <c r="H67">
        <f t="shared" si="6"/>
        <v>1</v>
      </c>
      <c r="I67">
        <f>IF(AND($H67=1,'All Data'!$C67&lt;&gt;"",COUNTIFS($H$2:H66,1,'All Data'!$C$2:$C66,'All Data'!$C67)=0),1,0)</f>
        <v>0</v>
      </c>
      <c r="J67" t="str">
        <f>IF($I67=1,SUM($I$2:I67),"")</f>
        <v/>
      </c>
      <c r="K67">
        <f t="shared" si="7"/>
        <v>1</v>
      </c>
      <c r="L67">
        <f>IF(AND($K67=1,'All Data'!$D67&lt;&gt;"",COUNTIFS($K$2:K66,1,'All Data'!$D$2:$D66,'All Data'!$D67)=0),1,0)</f>
        <v>0</v>
      </c>
      <c r="M67" t="str">
        <f>IF($L67=1,SUM($L$2:L67),"")</f>
        <v/>
      </c>
      <c r="N67">
        <f t="shared" si="8"/>
        <v>1</v>
      </c>
      <c r="O67">
        <f>IF(AND($N67=1,'All Data'!$E67&lt;&gt;"",COUNTIFS($N$2:N66,1,'All Data'!$E$2:$E66,'All Data'!$E67)=0),1,0)</f>
        <v>0</v>
      </c>
      <c r="P67" t="str">
        <f>IF($O67=1,SUM($O$2:O67),"")</f>
        <v/>
      </c>
      <c r="Q67">
        <f t="shared" si="9"/>
        <v>1</v>
      </c>
      <c r="R67">
        <f>IF(AND($Q67=1,'All Data'!$F67&lt;&gt;"",COUNTIFS($Q$2:Q66,1,'All Data'!$F$2:$F66,'All Data'!$F67)=0),1,0)</f>
        <v>0</v>
      </c>
      <c r="S67" t="str">
        <f>IF($R67=1,SUM($R$2:R67),"")</f>
        <v/>
      </c>
      <c r="T67">
        <f t="shared" si="10"/>
        <v>1</v>
      </c>
      <c r="U67">
        <f>IF(AND($T67=1,'All Data'!$G67&lt;&gt;"",COUNTIFS($T$2:T66,1,'All Data'!$G$2:$G66,'All Data'!$G67)=0),1,0)</f>
        <v>0</v>
      </c>
      <c r="V67" t="str">
        <f>IF($U67=1,SUM($U$2:U67),"")</f>
        <v/>
      </c>
      <c r="W67">
        <f t="shared" si="11"/>
        <v>0</v>
      </c>
      <c r="X67" t="str">
        <f>IF($W67=1,SUM($W$2:W67),"")</f>
        <v/>
      </c>
      <c r="Z67" t="str">
        <f>IFERROR(INDEX('All Data'!$C$2:$C$419,MATCH(65,$J$2:$J$419,0))&amp;"","")</f>
        <v/>
      </c>
      <c r="AB67" t="str">
        <f>IFERROR(INDEX('All Data'!$D$2:$D$419,MATCH(65,$M$2:$M$419,0))&amp;"","")</f>
        <v/>
      </c>
      <c r="AD67" t="str">
        <f>IFERROR(INDEX('All Data'!$E$2:$E$419,MATCH(65,$P$2:$P$419,0))&amp;"","")</f>
        <v/>
      </c>
      <c r="AF67" t="str">
        <f>IFERROR(INDEX('All Data'!$F$2:$F$419,MATCH(65,$S$2:$S$419,0))&amp;"","")</f>
        <v/>
      </c>
      <c r="AH67" t="str">
        <f>IFERROR(INDEX('All Data'!$G$2:$G$419,MATCH(65,$V$2:$V$419,0))&amp;"","")</f>
        <v/>
      </c>
    </row>
    <row r="68" spans="1:34" x14ac:dyDescent="0.3">
      <c r="A68">
        <f>IF(OR($BA1="Any",$BA1=""),1,IF('All Data'!$B68=$BA1,1,0))</f>
        <v>1</v>
      </c>
      <c r="B68">
        <f>IF(OR($BA2="Any",$BA2=""),1,IF('All Data'!$C68=$BA2,1,0))</f>
        <v>1</v>
      </c>
      <c r="C68">
        <f>IF(OR($BA3="Any",$BA3=""),1,IF('All Data'!$D68=$BA3,1,0))</f>
        <v>1</v>
      </c>
      <c r="D68">
        <f>IF(OR($BA4="Any",$BA4=""),1,IF('All Data'!$E68=$BA4,1,0))</f>
        <v>1</v>
      </c>
      <c r="E68">
        <f>IF(OR($BA5="Any",$BA5=""),1,IF('All Data'!$F68=$BA5,1,0))</f>
        <v>1</v>
      </c>
      <c r="F68">
        <f>IF(OR($BA6="Any",$BA6=""),1,IF('All Data'!$G68=$BA6,1,0))</f>
        <v>0</v>
      </c>
      <c r="G68">
        <f>IF(AND(OR($BA$8="",ISNUMBER(SEARCH($BA$8,'All Data'!$K68&amp;" "&amp;'All Data'!$M68))),OR($BA$9="",ISNUMBER(SEARCH($BA$9,'All Data'!$K68&amp;" "&amp;'All Data'!$M68))),OR($BA$10="",ISNUMBER(SEARCH($BA$10,'All Data'!$K68&amp;" "&amp;'All Data'!$M68))),OR($BA$11="",ISNUMBER(SEARCH($BA$11,'All Data'!$K68&amp;" "&amp;'All Data'!$M68))),OR($BA$12="",ISNUMBER(SEARCH($BA$12,'All Data'!$K68&amp;" "&amp;'All Data'!$M68))),OR($BA$13="",ISNUMBER(SEARCH($BA$13,'All Data'!$K68&amp;" "&amp;'All Data'!$M68))),OR($BA$14="",ISNUMBER(SEARCH($BA$14,'All Data'!$K68&amp;" "&amp;'All Data'!$M68))),OR($BA$15="",ISNUMBER(SEARCH($BA$15,'All Data'!$K68&amp;" "&amp;'All Data'!$M68)))),1,0)</f>
        <v>1</v>
      </c>
      <c r="H68">
        <f t="shared" si="6"/>
        <v>1</v>
      </c>
      <c r="I68">
        <f>IF(AND($H68=1,'All Data'!$C68&lt;&gt;"",COUNTIFS($H$2:H67,1,'All Data'!$C$2:$C67,'All Data'!$C68)=0),1,0)</f>
        <v>0</v>
      </c>
      <c r="J68" t="str">
        <f>IF($I68=1,SUM($I$2:I68),"")</f>
        <v/>
      </c>
      <c r="K68">
        <f t="shared" si="7"/>
        <v>1</v>
      </c>
      <c r="L68">
        <f>IF(AND($K68=1,'All Data'!$D68&lt;&gt;"",COUNTIFS($K$2:K67,1,'All Data'!$D$2:$D67,'All Data'!$D68)=0),1,0)</f>
        <v>0</v>
      </c>
      <c r="M68" t="str">
        <f>IF($L68=1,SUM($L$2:L68),"")</f>
        <v/>
      </c>
      <c r="N68">
        <f t="shared" si="8"/>
        <v>1</v>
      </c>
      <c r="O68">
        <f>IF(AND($N68=1,'All Data'!$E68&lt;&gt;"",COUNTIFS($N$2:N67,1,'All Data'!$E$2:$E67,'All Data'!$E68)=0),1,0)</f>
        <v>0</v>
      </c>
      <c r="P68" t="str">
        <f>IF($O68=1,SUM($O$2:O68),"")</f>
        <v/>
      </c>
      <c r="Q68">
        <f t="shared" si="9"/>
        <v>1</v>
      </c>
      <c r="R68">
        <f>IF(AND($Q68=1,'All Data'!$F68&lt;&gt;"",COUNTIFS($Q$2:Q67,1,'All Data'!$F$2:$F67,'All Data'!$F68)=0),1,0)</f>
        <v>0</v>
      </c>
      <c r="S68" t="str">
        <f>IF($R68=1,SUM($R$2:R68),"")</f>
        <v/>
      </c>
      <c r="T68">
        <f t="shared" si="10"/>
        <v>1</v>
      </c>
      <c r="U68">
        <f>IF(AND($T68=1,'All Data'!$G68&lt;&gt;"",COUNTIFS($T$2:T67,1,'All Data'!$G$2:$G67,'All Data'!$G68)=0),1,0)</f>
        <v>0</v>
      </c>
      <c r="V68" t="str">
        <f>IF($U68=1,SUM($U$2:U68),"")</f>
        <v/>
      </c>
      <c r="W68">
        <f t="shared" si="11"/>
        <v>0</v>
      </c>
      <c r="X68" t="str">
        <f>IF($W68=1,SUM($W$2:W68),"")</f>
        <v/>
      </c>
      <c r="Z68" t="str">
        <f>IFERROR(INDEX('All Data'!$C$2:$C$419,MATCH(66,$J$2:$J$419,0))&amp;"","")</f>
        <v/>
      </c>
      <c r="AB68" t="str">
        <f>IFERROR(INDEX('All Data'!$D$2:$D$419,MATCH(66,$M$2:$M$419,0))&amp;"","")</f>
        <v/>
      </c>
      <c r="AD68" t="str">
        <f>IFERROR(INDEX('All Data'!$E$2:$E$419,MATCH(66,$P$2:$P$419,0))&amp;"","")</f>
        <v/>
      </c>
      <c r="AF68" t="str">
        <f>IFERROR(INDEX('All Data'!$F$2:$F$419,MATCH(66,$S$2:$S$419,0))&amp;"","")</f>
        <v/>
      </c>
      <c r="AH68" t="str">
        <f>IFERROR(INDEX('All Data'!$G$2:$G$419,MATCH(66,$V$2:$V$419,0))&amp;"","")</f>
        <v/>
      </c>
    </row>
    <row r="69" spans="1:34" x14ac:dyDescent="0.3">
      <c r="A69">
        <f>IF(OR($BA1="Any",$BA1=""),1,IF('All Data'!$B69=$BA1,1,0))</f>
        <v>1</v>
      </c>
      <c r="B69">
        <f>IF(OR($BA2="Any",$BA2=""),1,IF('All Data'!$C69=$BA2,1,0))</f>
        <v>1</v>
      </c>
      <c r="C69">
        <f>IF(OR($BA3="Any",$BA3=""),1,IF('All Data'!$D69=$BA3,1,0))</f>
        <v>1</v>
      </c>
      <c r="D69">
        <f>IF(OR($BA4="Any",$BA4=""),1,IF('All Data'!$E69=$BA4,1,0))</f>
        <v>1</v>
      </c>
      <c r="E69">
        <f>IF(OR($BA5="Any",$BA5=""),1,IF('All Data'!$F69=$BA5,1,0))</f>
        <v>1</v>
      </c>
      <c r="F69">
        <f>IF(OR($BA6="Any",$BA6=""),1,IF('All Data'!$G69=$BA6,1,0))</f>
        <v>0</v>
      </c>
      <c r="G69">
        <f>IF(AND(OR($BA$8="",ISNUMBER(SEARCH($BA$8,'All Data'!$K69&amp;" "&amp;'All Data'!$M69))),OR($BA$9="",ISNUMBER(SEARCH($BA$9,'All Data'!$K69&amp;" "&amp;'All Data'!$M69))),OR($BA$10="",ISNUMBER(SEARCH($BA$10,'All Data'!$K69&amp;" "&amp;'All Data'!$M69))),OR($BA$11="",ISNUMBER(SEARCH($BA$11,'All Data'!$K69&amp;" "&amp;'All Data'!$M69))),OR($BA$12="",ISNUMBER(SEARCH($BA$12,'All Data'!$K69&amp;" "&amp;'All Data'!$M69))),OR($BA$13="",ISNUMBER(SEARCH($BA$13,'All Data'!$K69&amp;" "&amp;'All Data'!$M69))),OR($BA$14="",ISNUMBER(SEARCH($BA$14,'All Data'!$K69&amp;" "&amp;'All Data'!$M69))),OR($BA$15="",ISNUMBER(SEARCH($BA$15,'All Data'!$K69&amp;" "&amp;'All Data'!$M69)))),1,0)</f>
        <v>1</v>
      </c>
      <c r="H69">
        <f t="shared" si="6"/>
        <v>1</v>
      </c>
      <c r="I69">
        <f>IF(AND($H69=1,'All Data'!$C69&lt;&gt;"",COUNTIFS($H$2:H68,1,'All Data'!$C$2:$C68,'All Data'!$C69)=0),1,0)</f>
        <v>0</v>
      </c>
      <c r="J69" t="str">
        <f>IF($I69=1,SUM($I$2:I69),"")</f>
        <v/>
      </c>
      <c r="K69">
        <f t="shared" si="7"/>
        <v>1</v>
      </c>
      <c r="L69">
        <f>IF(AND($K69=1,'All Data'!$D69&lt;&gt;"",COUNTIFS($K$2:K68,1,'All Data'!$D$2:$D68,'All Data'!$D69)=0),1,0)</f>
        <v>0</v>
      </c>
      <c r="M69" t="str">
        <f>IF($L69=1,SUM($L$2:L69),"")</f>
        <v/>
      </c>
      <c r="N69">
        <f t="shared" si="8"/>
        <v>1</v>
      </c>
      <c r="O69">
        <f>IF(AND($N69=1,'All Data'!$E69&lt;&gt;"",COUNTIFS($N$2:N68,1,'All Data'!$E$2:$E68,'All Data'!$E69)=0),1,0)</f>
        <v>0</v>
      </c>
      <c r="P69" t="str">
        <f>IF($O69=1,SUM($O$2:O69),"")</f>
        <v/>
      </c>
      <c r="Q69">
        <f t="shared" si="9"/>
        <v>1</v>
      </c>
      <c r="R69">
        <f>IF(AND($Q69=1,'All Data'!$F69&lt;&gt;"",COUNTIFS($Q$2:Q68,1,'All Data'!$F$2:$F68,'All Data'!$F69)=0),1,0)</f>
        <v>0</v>
      </c>
      <c r="S69" t="str">
        <f>IF($R69=1,SUM($R$2:R69),"")</f>
        <v/>
      </c>
      <c r="T69">
        <f t="shared" si="10"/>
        <v>1</v>
      </c>
      <c r="U69">
        <f>IF(AND($T69=1,'All Data'!$G69&lt;&gt;"",COUNTIFS($T$2:T68,1,'All Data'!$G$2:$G68,'All Data'!$G69)=0),1,0)</f>
        <v>0</v>
      </c>
      <c r="V69" t="str">
        <f>IF($U69=1,SUM($U$2:U69),"")</f>
        <v/>
      </c>
      <c r="W69">
        <f t="shared" si="11"/>
        <v>0</v>
      </c>
      <c r="X69" t="str">
        <f>IF($W69=1,SUM($W$2:W69),"")</f>
        <v/>
      </c>
      <c r="Z69" t="str">
        <f>IFERROR(INDEX('All Data'!$C$2:$C$419,MATCH(67,$J$2:$J$419,0))&amp;"","")</f>
        <v/>
      </c>
      <c r="AB69" t="str">
        <f>IFERROR(INDEX('All Data'!$D$2:$D$419,MATCH(67,$M$2:$M$419,0))&amp;"","")</f>
        <v/>
      </c>
      <c r="AD69" t="str">
        <f>IFERROR(INDEX('All Data'!$E$2:$E$419,MATCH(67,$P$2:$P$419,0))&amp;"","")</f>
        <v/>
      </c>
      <c r="AF69" t="str">
        <f>IFERROR(INDEX('All Data'!$F$2:$F$419,MATCH(67,$S$2:$S$419,0))&amp;"","")</f>
        <v/>
      </c>
      <c r="AH69" t="str">
        <f>IFERROR(INDEX('All Data'!$G$2:$G$419,MATCH(67,$V$2:$V$419,0))&amp;"","")</f>
        <v/>
      </c>
    </row>
    <row r="70" spans="1:34" x14ac:dyDescent="0.3">
      <c r="A70">
        <f>IF(OR($BA1="Any",$BA1=""),1,IF('All Data'!$B70=$BA1,1,0))</f>
        <v>1</v>
      </c>
      <c r="B70">
        <f>IF(OR($BA2="Any",$BA2=""),1,IF('All Data'!$C70=$BA2,1,0))</f>
        <v>1</v>
      </c>
      <c r="C70">
        <f>IF(OR($BA3="Any",$BA3=""),1,IF('All Data'!$D70=$BA3,1,0))</f>
        <v>1</v>
      </c>
      <c r="D70">
        <f>IF(OR($BA4="Any",$BA4=""),1,IF('All Data'!$E70=$BA4,1,0))</f>
        <v>1</v>
      </c>
      <c r="E70">
        <f>IF(OR($BA5="Any",$BA5=""),1,IF('All Data'!$F70=$BA5,1,0))</f>
        <v>1</v>
      </c>
      <c r="F70">
        <f>IF(OR($BA6="Any",$BA6=""),1,IF('All Data'!$G70=$BA6,1,0))</f>
        <v>0</v>
      </c>
      <c r="G70">
        <f>IF(AND(OR($BA$8="",ISNUMBER(SEARCH($BA$8,'All Data'!$K70&amp;" "&amp;'All Data'!$M70))),OR($BA$9="",ISNUMBER(SEARCH($BA$9,'All Data'!$K70&amp;" "&amp;'All Data'!$M70))),OR($BA$10="",ISNUMBER(SEARCH($BA$10,'All Data'!$K70&amp;" "&amp;'All Data'!$M70))),OR($BA$11="",ISNUMBER(SEARCH($BA$11,'All Data'!$K70&amp;" "&amp;'All Data'!$M70))),OR($BA$12="",ISNUMBER(SEARCH($BA$12,'All Data'!$K70&amp;" "&amp;'All Data'!$M70))),OR($BA$13="",ISNUMBER(SEARCH($BA$13,'All Data'!$K70&amp;" "&amp;'All Data'!$M70))),OR($BA$14="",ISNUMBER(SEARCH($BA$14,'All Data'!$K70&amp;" "&amp;'All Data'!$M70))),OR($BA$15="",ISNUMBER(SEARCH($BA$15,'All Data'!$K70&amp;" "&amp;'All Data'!$M70)))),1,0)</f>
        <v>1</v>
      </c>
      <c r="H70">
        <f t="shared" si="6"/>
        <v>1</v>
      </c>
      <c r="I70">
        <f>IF(AND($H70=1,'All Data'!$C70&lt;&gt;"",COUNTIFS($H$2:H69,1,'All Data'!$C$2:$C69,'All Data'!$C70)=0),1,0)</f>
        <v>0</v>
      </c>
      <c r="J70" t="str">
        <f>IF($I70=1,SUM($I$2:I70),"")</f>
        <v/>
      </c>
      <c r="K70">
        <f t="shared" si="7"/>
        <v>1</v>
      </c>
      <c r="L70">
        <f>IF(AND($K70=1,'All Data'!$D70&lt;&gt;"",COUNTIFS($K$2:K69,1,'All Data'!$D$2:$D69,'All Data'!$D70)=0),1,0)</f>
        <v>1</v>
      </c>
      <c r="M70">
        <f>IF($L70=1,SUM($L$2:L70),"")</f>
        <v>18</v>
      </c>
      <c r="N70">
        <f t="shared" si="8"/>
        <v>1</v>
      </c>
      <c r="O70">
        <f>IF(AND($N70=1,'All Data'!$E70&lt;&gt;"",COUNTIFS($N$2:N69,1,'All Data'!$E$2:$E69,'All Data'!$E70)=0),1,0)</f>
        <v>0</v>
      </c>
      <c r="P70" t="str">
        <f>IF($O70=1,SUM($O$2:O70),"")</f>
        <v/>
      </c>
      <c r="Q70">
        <f t="shared" si="9"/>
        <v>1</v>
      </c>
      <c r="R70">
        <f>IF(AND($Q70=1,'All Data'!$F70&lt;&gt;"",COUNTIFS($Q$2:Q69,1,'All Data'!$F$2:$F69,'All Data'!$F70)=0),1,0)</f>
        <v>0</v>
      </c>
      <c r="S70" t="str">
        <f>IF($R70=1,SUM($R$2:R70),"")</f>
        <v/>
      </c>
      <c r="T70">
        <f t="shared" si="10"/>
        <v>1</v>
      </c>
      <c r="U70">
        <f>IF(AND($T70=1,'All Data'!$G70&lt;&gt;"",COUNTIFS($T$2:T69,1,'All Data'!$G$2:$G69,'All Data'!$G70)=0),1,0)</f>
        <v>0</v>
      </c>
      <c r="V70" t="str">
        <f>IF($U70=1,SUM($U$2:U70),"")</f>
        <v/>
      </c>
      <c r="W70">
        <f t="shared" si="11"/>
        <v>0</v>
      </c>
      <c r="X70" t="str">
        <f>IF($W70=1,SUM($W$2:W70),"")</f>
        <v/>
      </c>
      <c r="Z70" t="str">
        <f>IFERROR(INDEX('All Data'!$C$2:$C$419,MATCH(68,$J$2:$J$419,0))&amp;"","")</f>
        <v/>
      </c>
      <c r="AB70" t="str">
        <f>IFERROR(INDEX('All Data'!$D$2:$D$419,MATCH(68,$M$2:$M$419,0))&amp;"","")</f>
        <v/>
      </c>
      <c r="AD70" t="str">
        <f>IFERROR(INDEX('All Data'!$E$2:$E$419,MATCH(68,$P$2:$P$419,0))&amp;"","")</f>
        <v/>
      </c>
      <c r="AF70" t="str">
        <f>IFERROR(INDEX('All Data'!$F$2:$F$419,MATCH(68,$S$2:$S$419,0))&amp;"","")</f>
        <v/>
      </c>
      <c r="AH70" t="str">
        <f>IFERROR(INDEX('All Data'!$G$2:$G$419,MATCH(68,$V$2:$V$419,0))&amp;"","")</f>
        <v/>
      </c>
    </row>
    <row r="71" spans="1:34" x14ac:dyDescent="0.3">
      <c r="A71">
        <f>IF(OR($BA1="Any",$BA1=""),1,IF('All Data'!$B71=$BA1,1,0))</f>
        <v>1</v>
      </c>
      <c r="B71">
        <f>IF(OR($BA2="Any",$BA2=""),1,IF('All Data'!$C71=$BA2,1,0))</f>
        <v>1</v>
      </c>
      <c r="C71">
        <f>IF(OR($BA3="Any",$BA3=""),1,IF('All Data'!$D71=$BA3,1,0))</f>
        <v>1</v>
      </c>
      <c r="D71">
        <f>IF(OR($BA4="Any",$BA4=""),1,IF('All Data'!$E71=$BA4,1,0))</f>
        <v>1</v>
      </c>
      <c r="E71">
        <f>IF(OR($BA5="Any",$BA5=""),1,IF('All Data'!$F71=$BA5,1,0))</f>
        <v>1</v>
      </c>
      <c r="F71">
        <f>IF(OR($BA6="Any",$BA6=""),1,IF('All Data'!$G71=$BA6,1,0))</f>
        <v>0</v>
      </c>
      <c r="G71">
        <f>IF(AND(OR($BA$8="",ISNUMBER(SEARCH($BA$8,'All Data'!$K71&amp;" "&amp;'All Data'!$M71))),OR($BA$9="",ISNUMBER(SEARCH($BA$9,'All Data'!$K71&amp;" "&amp;'All Data'!$M71))),OR($BA$10="",ISNUMBER(SEARCH($BA$10,'All Data'!$K71&amp;" "&amp;'All Data'!$M71))),OR($BA$11="",ISNUMBER(SEARCH($BA$11,'All Data'!$K71&amp;" "&amp;'All Data'!$M71))),OR($BA$12="",ISNUMBER(SEARCH($BA$12,'All Data'!$K71&amp;" "&amp;'All Data'!$M71))),OR($BA$13="",ISNUMBER(SEARCH($BA$13,'All Data'!$K71&amp;" "&amp;'All Data'!$M71))),OR($BA$14="",ISNUMBER(SEARCH($BA$14,'All Data'!$K71&amp;" "&amp;'All Data'!$M71))),OR($BA$15="",ISNUMBER(SEARCH($BA$15,'All Data'!$K71&amp;" "&amp;'All Data'!$M71)))),1,0)</f>
        <v>1</v>
      </c>
      <c r="H71">
        <f t="shared" si="6"/>
        <v>1</v>
      </c>
      <c r="I71">
        <f>IF(AND($H71=1,'All Data'!$C71&lt;&gt;"",COUNTIFS($H$2:H70,1,'All Data'!$C$2:$C70,'All Data'!$C71)=0),1,0)</f>
        <v>0</v>
      </c>
      <c r="J71" t="str">
        <f>IF($I71=1,SUM($I$2:I71),"")</f>
        <v/>
      </c>
      <c r="K71">
        <f t="shared" si="7"/>
        <v>1</v>
      </c>
      <c r="L71">
        <f>IF(AND($K71=1,'All Data'!$D71&lt;&gt;"",COUNTIFS($K$2:K70,1,'All Data'!$D$2:$D70,'All Data'!$D71)=0),1,0)</f>
        <v>0</v>
      </c>
      <c r="M71" t="str">
        <f>IF($L71=1,SUM($L$2:L71),"")</f>
        <v/>
      </c>
      <c r="N71">
        <f t="shared" si="8"/>
        <v>1</v>
      </c>
      <c r="O71">
        <f>IF(AND($N71=1,'All Data'!$E71&lt;&gt;"",COUNTIFS($N$2:N70,1,'All Data'!$E$2:$E70,'All Data'!$E71)=0),1,0)</f>
        <v>0</v>
      </c>
      <c r="P71" t="str">
        <f>IF($O71=1,SUM($O$2:O71),"")</f>
        <v/>
      </c>
      <c r="Q71">
        <f t="shared" si="9"/>
        <v>1</v>
      </c>
      <c r="R71">
        <f>IF(AND($Q71=1,'All Data'!$F71&lt;&gt;"",COUNTIFS($Q$2:Q70,1,'All Data'!$F$2:$F70,'All Data'!$F71)=0),1,0)</f>
        <v>0</v>
      </c>
      <c r="S71" t="str">
        <f>IF($R71=1,SUM($R$2:R71),"")</f>
        <v/>
      </c>
      <c r="T71">
        <f t="shared" si="10"/>
        <v>1</v>
      </c>
      <c r="U71">
        <f>IF(AND($T71=1,'All Data'!$G71&lt;&gt;"",COUNTIFS($T$2:T70,1,'All Data'!$G$2:$G70,'All Data'!$G71)=0),1,0)</f>
        <v>1</v>
      </c>
      <c r="V71">
        <f>IF($U71=1,SUM($U$2:U71),"")</f>
        <v>34</v>
      </c>
      <c r="W71">
        <f t="shared" si="11"/>
        <v>0</v>
      </c>
      <c r="X71" t="str">
        <f>IF($W71=1,SUM($W$2:W71),"")</f>
        <v/>
      </c>
      <c r="Z71" t="str">
        <f>IFERROR(INDEX('All Data'!$C$2:$C$419,MATCH(69,$J$2:$J$419,0))&amp;"","")</f>
        <v/>
      </c>
      <c r="AB71" t="str">
        <f>IFERROR(INDEX('All Data'!$D$2:$D$419,MATCH(69,$M$2:$M$419,0))&amp;"","")</f>
        <v/>
      </c>
      <c r="AD71" t="str">
        <f>IFERROR(INDEX('All Data'!$E$2:$E$419,MATCH(69,$P$2:$P$419,0))&amp;"","")</f>
        <v/>
      </c>
      <c r="AF71" t="str">
        <f>IFERROR(INDEX('All Data'!$F$2:$F$419,MATCH(69,$S$2:$S$419,0))&amp;"","")</f>
        <v/>
      </c>
      <c r="AH71" t="str">
        <f>IFERROR(INDEX('All Data'!$G$2:$G$419,MATCH(69,$V$2:$V$419,0))&amp;"","")</f>
        <v/>
      </c>
    </row>
    <row r="72" spans="1:34" x14ac:dyDescent="0.3">
      <c r="A72">
        <f>IF(OR($BA1="Any",$BA1=""),1,IF('All Data'!$B72=$BA1,1,0))</f>
        <v>1</v>
      </c>
      <c r="B72">
        <f>IF(OR($BA2="Any",$BA2=""),1,IF('All Data'!$C72=$BA2,1,0))</f>
        <v>1</v>
      </c>
      <c r="C72">
        <f>IF(OR($BA3="Any",$BA3=""),1,IF('All Data'!$D72=$BA3,1,0))</f>
        <v>1</v>
      </c>
      <c r="D72">
        <f>IF(OR($BA4="Any",$BA4=""),1,IF('All Data'!$E72=$BA4,1,0))</f>
        <v>1</v>
      </c>
      <c r="E72">
        <f>IF(OR($BA5="Any",$BA5=""),1,IF('All Data'!$F72=$BA5,1,0))</f>
        <v>1</v>
      </c>
      <c r="F72">
        <f>IF(OR($BA6="Any",$BA6=""),1,IF('All Data'!$G72=$BA6,1,0))</f>
        <v>0</v>
      </c>
      <c r="G72">
        <f>IF(AND(OR($BA$8="",ISNUMBER(SEARCH($BA$8,'All Data'!$K72&amp;" "&amp;'All Data'!$M72))),OR($BA$9="",ISNUMBER(SEARCH($BA$9,'All Data'!$K72&amp;" "&amp;'All Data'!$M72))),OR($BA$10="",ISNUMBER(SEARCH($BA$10,'All Data'!$K72&amp;" "&amp;'All Data'!$M72))),OR($BA$11="",ISNUMBER(SEARCH($BA$11,'All Data'!$K72&amp;" "&amp;'All Data'!$M72))),OR($BA$12="",ISNUMBER(SEARCH($BA$12,'All Data'!$K72&amp;" "&amp;'All Data'!$M72))),OR($BA$13="",ISNUMBER(SEARCH($BA$13,'All Data'!$K72&amp;" "&amp;'All Data'!$M72))),OR($BA$14="",ISNUMBER(SEARCH($BA$14,'All Data'!$K72&amp;" "&amp;'All Data'!$M72))),OR($BA$15="",ISNUMBER(SEARCH($BA$15,'All Data'!$K72&amp;" "&amp;'All Data'!$M72)))),1,0)</f>
        <v>1</v>
      </c>
      <c r="H72">
        <f t="shared" si="6"/>
        <v>1</v>
      </c>
      <c r="I72">
        <f>IF(AND($H72=1,'All Data'!$C72&lt;&gt;"",COUNTIFS($H$2:H71,1,'All Data'!$C$2:$C71,'All Data'!$C72)=0),1,0)</f>
        <v>0</v>
      </c>
      <c r="J72" t="str">
        <f>IF($I72=1,SUM($I$2:I72),"")</f>
        <v/>
      </c>
      <c r="K72">
        <f t="shared" si="7"/>
        <v>1</v>
      </c>
      <c r="L72">
        <f>IF(AND($K72=1,'All Data'!$D72&lt;&gt;"",COUNTIFS($K$2:K71,1,'All Data'!$D$2:$D71,'All Data'!$D72)=0),1,0)</f>
        <v>0</v>
      </c>
      <c r="M72" t="str">
        <f>IF($L72=1,SUM($L$2:L72),"")</f>
        <v/>
      </c>
      <c r="N72">
        <f t="shared" si="8"/>
        <v>1</v>
      </c>
      <c r="O72">
        <f>IF(AND($N72=1,'All Data'!$E72&lt;&gt;"",COUNTIFS($N$2:N71,1,'All Data'!$E$2:$E71,'All Data'!$E72)=0),1,0)</f>
        <v>0</v>
      </c>
      <c r="P72" t="str">
        <f>IF($O72=1,SUM($O$2:O72),"")</f>
        <v/>
      </c>
      <c r="Q72">
        <f t="shared" si="9"/>
        <v>1</v>
      </c>
      <c r="R72">
        <f>IF(AND($Q72=1,'All Data'!$F72&lt;&gt;"",COUNTIFS($Q$2:Q71,1,'All Data'!$F$2:$F71,'All Data'!$F72)=0),1,0)</f>
        <v>0</v>
      </c>
      <c r="S72" t="str">
        <f>IF($R72=1,SUM($R$2:R72),"")</f>
        <v/>
      </c>
      <c r="T72">
        <f t="shared" si="10"/>
        <v>1</v>
      </c>
      <c r="U72">
        <f>IF(AND($T72=1,'All Data'!$G72&lt;&gt;"",COUNTIFS($T$2:T71,1,'All Data'!$G$2:$G71,'All Data'!$G72)=0),1,0)</f>
        <v>1</v>
      </c>
      <c r="V72">
        <f>IF($U72=1,SUM($U$2:U72),"")</f>
        <v>35</v>
      </c>
      <c r="W72">
        <f t="shared" si="11"/>
        <v>0</v>
      </c>
      <c r="X72" t="str">
        <f>IF($W72=1,SUM($W$2:W72),"")</f>
        <v/>
      </c>
      <c r="Z72" t="str">
        <f>IFERROR(INDEX('All Data'!$C$2:$C$419,MATCH(70,$J$2:$J$419,0))&amp;"","")</f>
        <v/>
      </c>
      <c r="AB72" t="str">
        <f>IFERROR(INDEX('All Data'!$D$2:$D$419,MATCH(70,$M$2:$M$419,0))&amp;"","")</f>
        <v/>
      </c>
      <c r="AD72" t="str">
        <f>IFERROR(INDEX('All Data'!$E$2:$E$419,MATCH(70,$P$2:$P$419,0))&amp;"","")</f>
        <v/>
      </c>
      <c r="AF72" t="str">
        <f>IFERROR(INDEX('All Data'!$F$2:$F$419,MATCH(70,$S$2:$S$419,0))&amp;"","")</f>
        <v/>
      </c>
      <c r="AH72" t="str">
        <f>IFERROR(INDEX('All Data'!$G$2:$G$419,MATCH(70,$V$2:$V$419,0))&amp;"","")</f>
        <v/>
      </c>
    </row>
    <row r="73" spans="1:34" x14ac:dyDescent="0.3">
      <c r="A73">
        <f>IF(OR($BA1="Any",$BA1=""),1,IF('All Data'!$B73=$BA1,1,0))</f>
        <v>1</v>
      </c>
      <c r="B73">
        <f>IF(OR($BA2="Any",$BA2=""),1,IF('All Data'!$C73=$BA2,1,0))</f>
        <v>1</v>
      </c>
      <c r="C73">
        <f>IF(OR($BA3="Any",$BA3=""),1,IF('All Data'!$D73=$BA3,1,0))</f>
        <v>1</v>
      </c>
      <c r="D73">
        <f>IF(OR($BA4="Any",$BA4=""),1,IF('All Data'!$E73=$BA4,1,0))</f>
        <v>1</v>
      </c>
      <c r="E73">
        <f>IF(OR($BA5="Any",$BA5=""),1,IF('All Data'!$F73=$BA5,1,0))</f>
        <v>1</v>
      </c>
      <c r="F73">
        <f>IF(OR($BA6="Any",$BA6=""),1,IF('All Data'!$G73=$BA6,1,0))</f>
        <v>0</v>
      </c>
      <c r="G73">
        <f>IF(AND(OR($BA$8="",ISNUMBER(SEARCH($BA$8,'All Data'!$K73&amp;" "&amp;'All Data'!$M73))),OR($BA$9="",ISNUMBER(SEARCH($BA$9,'All Data'!$K73&amp;" "&amp;'All Data'!$M73))),OR($BA$10="",ISNUMBER(SEARCH($BA$10,'All Data'!$K73&amp;" "&amp;'All Data'!$M73))),OR($BA$11="",ISNUMBER(SEARCH($BA$11,'All Data'!$K73&amp;" "&amp;'All Data'!$M73))),OR($BA$12="",ISNUMBER(SEARCH($BA$12,'All Data'!$K73&amp;" "&amp;'All Data'!$M73))),OR($BA$13="",ISNUMBER(SEARCH($BA$13,'All Data'!$K73&amp;" "&amp;'All Data'!$M73))),OR($BA$14="",ISNUMBER(SEARCH($BA$14,'All Data'!$K73&amp;" "&amp;'All Data'!$M73))),OR($BA$15="",ISNUMBER(SEARCH($BA$15,'All Data'!$K73&amp;" "&amp;'All Data'!$M73)))),1,0)</f>
        <v>1</v>
      </c>
      <c r="H73">
        <f t="shared" si="6"/>
        <v>1</v>
      </c>
      <c r="I73">
        <f>IF(AND($H73=1,'All Data'!$C73&lt;&gt;"",COUNTIFS($H$2:H72,1,'All Data'!$C$2:$C72,'All Data'!$C73)=0),1,0)</f>
        <v>0</v>
      </c>
      <c r="J73" t="str">
        <f>IF($I73=1,SUM($I$2:I73),"")</f>
        <v/>
      </c>
      <c r="K73">
        <f t="shared" si="7"/>
        <v>1</v>
      </c>
      <c r="L73">
        <f>IF(AND($K73=1,'All Data'!$D73&lt;&gt;"",COUNTIFS($K$2:K72,1,'All Data'!$D$2:$D72,'All Data'!$D73)=0),1,0)</f>
        <v>0</v>
      </c>
      <c r="M73" t="str">
        <f>IF($L73=1,SUM($L$2:L73),"")</f>
        <v/>
      </c>
      <c r="N73">
        <f t="shared" si="8"/>
        <v>1</v>
      </c>
      <c r="O73">
        <f>IF(AND($N73=1,'All Data'!$E73&lt;&gt;"",COUNTIFS($N$2:N72,1,'All Data'!$E$2:$E72,'All Data'!$E73)=0),1,0)</f>
        <v>0</v>
      </c>
      <c r="P73" t="str">
        <f>IF($O73=1,SUM($O$2:O73),"")</f>
        <v/>
      </c>
      <c r="Q73">
        <f t="shared" si="9"/>
        <v>1</v>
      </c>
      <c r="R73">
        <f>IF(AND($Q73=1,'All Data'!$F73&lt;&gt;"",COUNTIFS($Q$2:Q72,1,'All Data'!$F$2:$F72,'All Data'!$F73)=0),1,0)</f>
        <v>0</v>
      </c>
      <c r="S73" t="str">
        <f>IF($R73=1,SUM($R$2:R73),"")</f>
        <v/>
      </c>
      <c r="T73">
        <f t="shared" si="10"/>
        <v>1</v>
      </c>
      <c r="U73">
        <f>IF(AND($T73=1,'All Data'!$G73&lt;&gt;"",COUNTIFS($T$2:T72,1,'All Data'!$G$2:$G72,'All Data'!$G73)=0),1,0)</f>
        <v>0</v>
      </c>
      <c r="V73" t="str">
        <f>IF($U73=1,SUM($U$2:U73),"")</f>
        <v/>
      </c>
      <c r="W73">
        <f t="shared" si="11"/>
        <v>0</v>
      </c>
      <c r="X73" t="str">
        <f>IF($W73=1,SUM($W$2:W73),"")</f>
        <v/>
      </c>
      <c r="Z73" t="str">
        <f>IFERROR(INDEX('All Data'!$C$2:$C$419,MATCH(71,$J$2:$J$419,0))&amp;"","")</f>
        <v/>
      </c>
      <c r="AB73" t="str">
        <f>IFERROR(INDEX('All Data'!$D$2:$D$419,MATCH(71,$M$2:$M$419,0))&amp;"","")</f>
        <v/>
      </c>
      <c r="AD73" t="str">
        <f>IFERROR(INDEX('All Data'!$E$2:$E$419,MATCH(71,$P$2:$P$419,0))&amp;"","")</f>
        <v/>
      </c>
      <c r="AF73" t="str">
        <f>IFERROR(INDEX('All Data'!$F$2:$F$419,MATCH(71,$S$2:$S$419,0))&amp;"","")</f>
        <v/>
      </c>
      <c r="AH73" t="str">
        <f>IFERROR(INDEX('All Data'!$G$2:$G$419,MATCH(71,$V$2:$V$419,0))&amp;"","")</f>
        <v/>
      </c>
    </row>
    <row r="74" spans="1:34" x14ac:dyDescent="0.3">
      <c r="A74">
        <f>IF(OR($BA1="Any",$BA1=""),1,IF('All Data'!$B74=$BA1,1,0))</f>
        <v>1</v>
      </c>
      <c r="B74">
        <f>IF(OR($BA2="Any",$BA2=""),1,IF('All Data'!$C74=$BA2,1,0))</f>
        <v>1</v>
      </c>
      <c r="C74">
        <f>IF(OR($BA3="Any",$BA3=""),1,IF('All Data'!$D74=$BA3,1,0))</f>
        <v>1</v>
      </c>
      <c r="D74">
        <f>IF(OR($BA4="Any",$BA4=""),1,IF('All Data'!$E74=$BA4,1,0))</f>
        <v>1</v>
      </c>
      <c r="E74">
        <f>IF(OR($BA5="Any",$BA5=""),1,IF('All Data'!$F74=$BA5,1,0))</f>
        <v>1</v>
      </c>
      <c r="F74">
        <f>IF(OR($BA6="Any",$BA6=""),1,IF('All Data'!$G74=$BA6,1,0))</f>
        <v>0</v>
      </c>
      <c r="G74">
        <f>IF(AND(OR($BA$8="",ISNUMBER(SEARCH($BA$8,'All Data'!$K74&amp;" "&amp;'All Data'!$M74))),OR($BA$9="",ISNUMBER(SEARCH($BA$9,'All Data'!$K74&amp;" "&amp;'All Data'!$M74))),OR($BA$10="",ISNUMBER(SEARCH($BA$10,'All Data'!$K74&amp;" "&amp;'All Data'!$M74))),OR($BA$11="",ISNUMBER(SEARCH($BA$11,'All Data'!$K74&amp;" "&amp;'All Data'!$M74))),OR($BA$12="",ISNUMBER(SEARCH($BA$12,'All Data'!$K74&amp;" "&amp;'All Data'!$M74))),OR($BA$13="",ISNUMBER(SEARCH($BA$13,'All Data'!$K74&amp;" "&amp;'All Data'!$M74))),OR($BA$14="",ISNUMBER(SEARCH($BA$14,'All Data'!$K74&amp;" "&amp;'All Data'!$M74))),OR($BA$15="",ISNUMBER(SEARCH($BA$15,'All Data'!$K74&amp;" "&amp;'All Data'!$M74)))),1,0)</f>
        <v>1</v>
      </c>
      <c r="H74">
        <f t="shared" si="6"/>
        <v>1</v>
      </c>
      <c r="I74">
        <f>IF(AND($H74=1,'All Data'!$C74&lt;&gt;"",COUNTIFS($H$2:H73,1,'All Data'!$C$2:$C73,'All Data'!$C74)=0),1,0)</f>
        <v>0</v>
      </c>
      <c r="J74" t="str">
        <f>IF($I74=1,SUM($I$2:I74),"")</f>
        <v/>
      </c>
      <c r="K74">
        <f t="shared" si="7"/>
        <v>1</v>
      </c>
      <c r="L74">
        <f>IF(AND($K74=1,'All Data'!$D74&lt;&gt;"",COUNTIFS($K$2:K73,1,'All Data'!$D$2:$D73,'All Data'!$D74)=0),1,0)</f>
        <v>0</v>
      </c>
      <c r="M74" t="str">
        <f>IF($L74=1,SUM($L$2:L74),"")</f>
        <v/>
      </c>
      <c r="N74">
        <f t="shared" si="8"/>
        <v>1</v>
      </c>
      <c r="O74">
        <f>IF(AND($N74=1,'All Data'!$E74&lt;&gt;"",COUNTIFS($N$2:N73,1,'All Data'!$E$2:$E73,'All Data'!$E74)=0),1,0)</f>
        <v>0</v>
      </c>
      <c r="P74" t="str">
        <f>IF($O74=1,SUM($O$2:O74),"")</f>
        <v/>
      </c>
      <c r="Q74">
        <f t="shared" si="9"/>
        <v>1</v>
      </c>
      <c r="R74">
        <f>IF(AND($Q74=1,'All Data'!$F74&lt;&gt;"",COUNTIFS($Q$2:Q73,1,'All Data'!$F$2:$F73,'All Data'!$F74)=0),1,0)</f>
        <v>0</v>
      </c>
      <c r="S74" t="str">
        <f>IF($R74=1,SUM($R$2:R74),"")</f>
        <v/>
      </c>
      <c r="T74">
        <f t="shared" si="10"/>
        <v>1</v>
      </c>
      <c r="U74">
        <f>IF(AND($T74=1,'All Data'!$G74&lt;&gt;"",COUNTIFS($T$2:T73,1,'All Data'!$G$2:$G73,'All Data'!$G74)=0),1,0)</f>
        <v>1</v>
      </c>
      <c r="V74">
        <f>IF($U74=1,SUM($U$2:U74),"")</f>
        <v>36</v>
      </c>
      <c r="W74">
        <f t="shared" si="11"/>
        <v>0</v>
      </c>
      <c r="X74" t="str">
        <f>IF($W74=1,SUM($W$2:W74),"")</f>
        <v/>
      </c>
      <c r="Z74" t="str">
        <f>IFERROR(INDEX('All Data'!$C$2:$C$419,MATCH(72,$J$2:$J$419,0))&amp;"","")</f>
        <v/>
      </c>
      <c r="AB74" t="str">
        <f>IFERROR(INDEX('All Data'!$D$2:$D$419,MATCH(72,$M$2:$M$419,0))&amp;"","")</f>
        <v/>
      </c>
      <c r="AD74" t="str">
        <f>IFERROR(INDEX('All Data'!$E$2:$E$419,MATCH(72,$P$2:$P$419,0))&amp;"","")</f>
        <v/>
      </c>
      <c r="AF74" t="str">
        <f>IFERROR(INDEX('All Data'!$F$2:$F$419,MATCH(72,$S$2:$S$419,0))&amp;"","")</f>
        <v/>
      </c>
      <c r="AH74" t="str">
        <f>IFERROR(INDEX('All Data'!$G$2:$G$419,MATCH(72,$V$2:$V$419,0))&amp;"","")</f>
        <v/>
      </c>
    </row>
    <row r="75" spans="1:34" x14ac:dyDescent="0.3">
      <c r="A75">
        <f>IF(OR($BA1="Any",$BA1=""),1,IF('All Data'!$B75=$BA1,1,0))</f>
        <v>1</v>
      </c>
      <c r="B75">
        <f>IF(OR($BA2="Any",$BA2=""),1,IF('All Data'!$C75=$BA2,1,0))</f>
        <v>1</v>
      </c>
      <c r="C75">
        <f>IF(OR($BA3="Any",$BA3=""),1,IF('All Data'!$D75=$BA3,1,0))</f>
        <v>1</v>
      </c>
      <c r="D75">
        <f>IF(OR($BA4="Any",$BA4=""),1,IF('All Data'!$E75=$BA4,1,0))</f>
        <v>1</v>
      </c>
      <c r="E75">
        <f>IF(OR($BA5="Any",$BA5=""),1,IF('All Data'!$F75=$BA5,1,0))</f>
        <v>1</v>
      </c>
      <c r="F75">
        <f>IF(OR($BA6="Any",$BA6=""),1,IF('All Data'!$G75=$BA6,1,0))</f>
        <v>0</v>
      </c>
      <c r="G75">
        <f>IF(AND(OR($BA$8="",ISNUMBER(SEARCH($BA$8,'All Data'!$K75&amp;" "&amp;'All Data'!$M75))),OR($BA$9="",ISNUMBER(SEARCH($BA$9,'All Data'!$K75&amp;" "&amp;'All Data'!$M75))),OR($BA$10="",ISNUMBER(SEARCH($BA$10,'All Data'!$K75&amp;" "&amp;'All Data'!$M75))),OR($BA$11="",ISNUMBER(SEARCH($BA$11,'All Data'!$K75&amp;" "&amp;'All Data'!$M75))),OR($BA$12="",ISNUMBER(SEARCH($BA$12,'All Data'!$K75&amp;" "&amp;'All Data'!$M75))),OR($BA$13="",ISNUMBER(SEARCH($BA$13,'All Data'!$K75&amp;" "&amp;'All Data'!$M75))),OR($BA$14="",ISNUMBER(SEARCH($BA$14,'All Data'!$K75&amp;" "&amp;'All Data'!$M75))),OR($BA$15="",ISNUMBER(SEARCH($BA$15,'All Data'!$K75&amp;" "&amp;'All Data'!$M75)))),1,0)</f>
        <v>1</v>
      </c>
      <c r="H75">
        <f t="shared" si="6"/>
        <v>1</v>
      </c>
      <c r="I75">
        <f>IF(AND($H75=1,'All Data'!$C75&lt;&gt;"",COUNTIFS($H$2:H74,1,'All Data'!$C$2:$C74,'All Data'!$C75)=0),1,0)</f>
        <v>0</v>
      </c>
      <c r="J75" t="str">
        <f>IF($I75=1,SUM($I$2:I75),"")</f>
        <v/>
      </c>
      <c r="K75">
        <f t="shared" si="7"/>
        <v>1</v>
      </c>
      <c r="L75">
        <f>IF(AND($K75=1,'All Data'!$D75&lt;&gt;"",COUNTIFS($K$2:K74,1,'All Data'!$D$2:$D74,'All Data'!$D75)=0),1,0)</f>
        <v>0</v>
      </c>
      <c r="M75" t="str">
        <f>IF($L75=1,SUM($L$2:L75),"")</f>
        <v/>
      </c>
      <c r="N75">
        <f t="shared" si="8"/>
        <v>1</v>
      </c>
      <c r="O75">
        <f>IF(AND($N75=1,'All Data'!$E75&lt;&gt;"",COUNTIFS($N$2:N74,1,'All Data'!$E$2:$E74,'All Data'!$E75)=0),1,0)</f>
        <v>0</v>
      </c>
      <c r="P75" t="str">
        <f>IF($O75=1,SUM($O$2:O75),"")</f>
        <v/>
      </c>
      <c r="Q75">
        <f t="shared" si="9"/>
        <v>1</v>
      </c>
      <c r="R75">
        <f>IF(AND($Q75=1,'All Data'!$F75&lt;&gt;"",COUNTIFS($Q$2:Q74,1,'All Data'!$F$2:$F74,'All Data'!$F75)=0),1,0)</f>
        <v>0</v>
      </c>
      <c r="S75" t="str">
        <f>IF($R75=1,SUM($R$2:R75),"")</f>
        <v/>
      </c>
      <c r="T75">
        <f t="shared" si="10"/>
        <v>1</v>
      </c>
      <c r="U75">
        <f>IF(AND($T75=1,'All Data'!$G75&lt;&gt;"",COUNTIFS($T$2:T74,1,'All Data'!$G$2:$G74,'All Data'!$G75)=0),1,0)</f>
        <v>1</v>
      </c>
      <c r="V75">
        <f>IF($U75=1,SUM($U$2:U75),"")</f>
        <v>37</v>
      </c>
      <c r="W75">
        <f t="shared" si="11"/>
        <v>0</v>
      </c>
      <c r="X75" t="str">
        <f>IF($W75=1,SUM($W$2:W75),"")</f>
        <v/>
      </c>
      <c r="Z75" t="str">
        <f>IFERROR(INDEX('All Data'!$C$2:$C$419,MATCH(73,$J$2:$J$419,0))&amp;"","")</f>
        <v/>
      </c>
      <c r="AB75" t="str">
        <f>IFERROR(INDEX('All Data'!$D$2:$D$419,MATCH(73,$M$2:$M$419,0))&amp;"","")</f>
        <v/>
      </c>
      <c r="AD75" t="str">
        <f>IFERROR(INDEX('All Data'!$E$2:$E$419,MATCH(73,$P$2:$P$419,0))&amp;"","")</f>
        <v/>
      </c>
      <c r="AF75" t="str">
        <f>IFERROR(INDEX('All Data'!$F$2:$F$419,MATCH(73,$S$2:$S$419,0))&amp;"","")</f>
        <v/>
      </c>
      <c r="AH75" t="str">
        <f>IFERROR(INDEX('All Data'!$G$2:$G$419,MATCH(73,$V$2:$V$419,0))&amp;"","")</f>
        <v/>
      </c>
    </row>
    <row r="76" spans="1:34" x14ac:dyDescent="0.3">
      <c r="A76">
        <f>IF(OR($BA1="Any",$BA1=""),1,IF('All Data'!$B76=$BA1,1,0))</f>
        <v>1</v>
      </c>
      <c r="B76">
        <f>IF(OR($BA2="Any",$BA2=""),1,IF('All Data'!$C76=$BA2,1,0))</f>
        <v>1</v>
      </c>
      <c r="C76">
        <f>IF(OR($BA3="Any",$BA3=""),1,IF('All Data'!$D76=$BA3,1,0))</f>
        <v>1</v>
      </c>
      <c r="D76">
        <f>IF(OR($BA4="Any",$BA4=""),1,IF('All Data'!$E76=$BA4,1,0))</f>
        <v>1</v>
      </c>
      <c r="E76">
        <f>IF(OR($BA5="Any",$BA5=""),1,IF('All Data'!$F76=$BA5,1,0))</f>
        <v>1</v>
      </c>
      <c r="F76">
        <f>IF(OR($BA6="Any",$BA6=""),1,IF('All Data'!$G76=$BA6,1,0))</f>
        <v>0</v>
      </c>
      <c r="G76">
        <f>IF(AND(OR($BA$8="",ISNUMBER(SEARCH($BA$8,'All Data'!$K76&amp;" "&amp;'All Data'!$M76))),OR($BA$9="",ISNUMBER(SEARCH($BA$9,'All Data'!$K76&amp;" "&amp;'All Data'!$M76))),OR($BA$10="",ISNUMBER(SEARCH($BA$10,'All Data'!$K76&amp;" "&amp;'All Data'!$M76))),OR($BA$11="",ISNUMBER(SEARCH($BA$11,'All Data'!$K76&amp;" "&amp;'All Data'!$M76))),OR($BA$12="",ISNUMBER(SEARCH($BA$12,'All Data'!$K76&amp;" "&amp;'All Data'!$M76))),OR($BA$13="",ISNUMBER(SEARCH($BA$13,'All Data'!$K76&amp;" "&amp;'All Data'!$M76))),OR($BA$14="",ISNUMBER(SEARCH($BA$14,'All Data'!$K76&amp;" "&amp;'All Data'!$M76))),OR($BA$15="",ISNUMBER(SEARCH($BA$15,'All Data'!$K76&amp;" "&amp;'All Data'!$M76)))),1,0)</f>
        <v>1</v>
      </c>
      <c r="H76">
        <f t="shared" si="6"/>
        <v>1</v>
      </c>
      <c r="I76">
        <f>IF(AND($H76=1,'All Data'!$C76&lt;&gt;"",COUNTIFS($H$2:H75,1,'All Data'!$C$2:$C75,'All Data'!$C76)=0),1,0)</f>
        <v>0</v>
      </c>
      <c r="J76" t="str">
        <f>IF($I76=1,SUM($I$2:I76),"")</f>
        <v/>
      </c>
      <c r="K76">
        <f t="shared" si="7"/>
        <v>1</v>
      </c>
      <c r="L76">
        <f>IF(AND($K76=1,'All Data'!$D76&lt;&gt;"",COUNTIFS($K$2:K75,1,'All Data'!$D$2:$D75,'All Data'!$D76)=0),1,0)</f>
        <v>1</v>
      </c>
      <c r="M76">
        <f>IF($L76=1,SUM($L$2:L76),"")</f>
        <v>19</v>
      </c>
      <c r="N76">
        <f t="shared" si="8"/>
        <v>1</v>
      </c>
      <c r="O76">
        <f>IF(AND($N76=1,'All Data'!$E76&lt;&gt;"",COUNTIFS($N$2:N75,1,'All Data'!$E$2:$E75,'All Data'!$E76)=0),1,0)</f>
        <v>0</v>
      </c>
      <c r="P76" t="str">
        <f>IF($O76=1,SUM($O$2:O76),"")</f>
        <v/>
      </c>
      <c r="Q76">
        <f t="shared" si="9"/>
        <v>1</v>
      </c>
      <c r="R76">
        <f>IF(AND($Q76=1,'All Data'!$F76&lt;&gt;"",COUNTIFS($Q$2:Q75,1,'All Data'!$F$2:$F75,'All Data'!$F76)=0),1,0)</f>
        <v>0</v>
      </c>
      <c r="S76" t="str">
        <f>IF($R76=1,SUM($R$2:R76),"")</f>
        <v/>
      </c>
      <c r="T76">
        <f t="shared" si="10"/>
        <v>1</v>
      </c>
      <c r="U76">
        <f>IF(AND($T76=1,'All Data'!$G76&lt;&gt;"",COUNTIFS($T$2:T75,1,'All Data'!$G$2:$G75,'All Data'!$G76)=0),1,0)</f>
        <v>0</v>
      </c>
      <c r="V76" t="str">
        <f>IF($U76=1,SUM($U$2:U76),"")</f>
        <v/>
      </c>
      <c r="W76">
        <f t="shared" si="11"/>
        <v>0</v>
      </c>
      <c r="X76" t="str">
        <f>IF($W76=1,SUM($W$2:W76),"")</f>
        <v/>
      </c>
      <c r="Z76" t="str">
        <f>IFERROR(INDEX('All Data'!$C$2:$C$419,MATCH(74,$J$2:$J$419,0))&amp;"","")</f>
        <v/>
      </c>
      <c r="AB76" t="str">
        <f>IFERROR(INDEX('All Data'!$D$2:$D$419,MATCH(74,$M$2:$M$419,0))&amp;"","")</f>
        <v/>
      </c>
      <c r="AD76" t="str">
        <f>IFERROR(INDEX('All Data'!$E$2:$E$419,MATCH(74,$P$2:$P$419,0))&amp;"","")</f>
        <v/>
      </c>
      <c r="AF76" t="str">
        <f>IFERROR(INDEX('All Data'!$F$2:$F$419,MATCH(74,$S$2:$S$419,0))&amp;"","")</f>
        <v/>
      </c>
      <c r="AH76" t="str">
        <f>IFERROR(INDEX('All Data'!$G$2:$G$419,MATCH(74,$V$2:$V$419,0))&amp;"","")</f>
        <v/>
      </c>
    </row>
    <row r="77" spans="1:34" x14ac:dyDescent="0.3">
      <c r="A77">
        <f>IF(OR($BA1="Any",$BA1=""),1,IF('All Data'!$B77=$BA1,1,0))</f>
        <v>1</v>
      </c>
      <c r="B77">
        <f>IF(OR($BA2="Any",$BA2=""),1,IF('All Data'!$C77=$BA2,1,0))</f>
        <v>1</v>
      </c>
      <c r="C77">
        <f>IF(OR($BA3="Any",$BA3=""),1,IF('All Data'!$D77=$BA3,1,0))</f>
        <v>1</v>
      </c>
      <c r="D77">
        <f>IF(OR($BA4="Any",$BA4=""),1,IF('All Data'!$E77=$BA4,1,0))</f>
        <v>1</v>
      </c>
      <c r="E77">
        <f>IF(OR($BA5="Any",$BA5=""),1,IF('All Data'!$F77=$BA5,1,0))</f>
        <v>1</v>
      </c>
      <c r="F77">
        <f>IF(OR($BA6="Any",$BA6=""),1,IF('All Data'!$G77=$BA6,1,0))</f>
        <v>0</v>
      </c>
      <c r="G77">
        <f>IF(AND(OR($BA$8="",ISNUMBER(SEARCH($BA$8,'All Data'!$K77&amp;" "&amp;'All Data'!$M77))),OR($BA$9="",ISNUMBER(SEARCH($BA$9,'All Data'!$K77&amp;" "&amp;'All Data'!$M77))),OR($BA$10="",ISNUMBER(SEARCH($BA$10,'All Data'!$K77&amp;" "&amp;'All Data'!$M77))),OR($BA$11="",ISNUMBER(SEARCH($BA$11,'All Data'!$K77&amp;" "&amp;'All Data'!$M77))),OR($BA$12="",ISNUMBER(SEARCH($BA$12,'All Data'!$K77&amp;" "&amp;'All Data'!$M77))),OR($BA$13="",ISNUMBER(SEARCH($BA$13,'All Data'!$K77&amp;" "&amp;'All Data'!$M77))),OR($BA$14="",ISNUMBER(SEARCH($BA$14,'All Data'!$K77&amp;" "&amp;'All Data'!$M77))),OR($BA$15="",ISNUMBER(SEARCH($BA$15,'All Data'!$K77&amp;" "&amp;'All Data'!$M77)))),1,0)</f>
        <v>1</v>
      </c>
      <c r="H77">
        <f t="shared" si="6"/>
        <v>1</v>
      </c>
      <c r="I77">
        <f>IF(AND($H77=1,'All Data'!$C77&lt;&gt;"",COUNTIFS($H$2:H76,1,'All Data'!$C$2:$C76,'All Data'!$C77)=0),1,0)</f>
        <v>0</v>
      </c>
      <c r="J77" t="str">
        <f>IF($I77=1,SUM($I$2:I77),"")</f>
        <v/>
      </c>
      <c r="K77">
        <f t="shared" si="7"/>
        <v>1</v>
      </c>
      <c r="L77">
        <f>IF(AND($K77=1,'All Data'!$D77&lt;&gt;"",COUNTIFS($K$2:K76,1,'All Data'!$D$2:$D76,'All Data'!$D77)=0),1,0)</f>
        <v>0</v>
      </c>
      <c r="M77" t="str">
        <f>IF($L77=1,SUM($L$2:L77),"")</f>
        <v/>
      </c>
      <c r="N77">
        <f t="shared" si="8"/>
        <v>1</v>
      </c>
      <c r="O77">
        <f>IF(AND($N77=1,'All Data'!$E77&lt;&gt;"",COUNTIFS($N$2:N76,1,'All Data'!$E$2:$E76,'All Data'!$E77)=0),1,0)</f>
        <v>0</v>
      </c>
      <c r="P77" t="str">
        <f>IF($O77=1,SUM($O$2:O77),"")</f>
        <v/>
      </c>
      <c r="Q77">
        <f t="shared" si="9"/>
        <v>1</v>
      </c>
      <c r="R77">
        <f>IF(AND($Q77=1,'All Data'!$F77&lt;&gt;"",COUNTIFS($Q$2:Q76,1,'All Data'!$F$2:$F76,'All Data'!$F77)=0),1,0)</f>
        <v>0</v>
      </c>
      <c r="S77" t="str">
        <f>IF($R77=1,SUM($R$2:R77),"")</f>
        <v/>
      </c>
      <c r="T77">
        <f t="shared" si="10"/>
        <v>1</v>
      </c>
      <c r="U77">
        <f>IF(AND($T77=1,'All Data'!$G77&lt;&gt;"",COUNTIFS($T$2:T76,1,'All Data'!$G$2:$G76,'All Data'!$G77)=0),1,0)</f>
        <v>0</v>
      </c>
      <c r="V77" t="str">
        <f>IF($U77=1,SUM($U$2:U77),"")</f>
        <v/>
      </c>
      <c r="W77">
        <f t="shared" si="11"/>
        <v>0</v>
      </c>
      <c r="X77" t="str">
        <f>IF($W77=1,SUM($W$2:W77),"")</f>
        <v/>
      </c>
      <c r="Z77" t="str">
        <f>IFERROR(INDEX('All Data'!$C$2:$C$419,MATCH(75,$J$2:$J$419,0))&amp;"","")</f>
        <v/>
      </c>
      <c r="AB77" t="str">
        <f>IFERROR(INDEX('All Data'!$D$2:$D$419,MATCH(75,$M$2:$M$419,0))&amp;"","")</f>
        <v/>
      </c>
      <c r="AD77" t="str">
        <f>IFERROR(INDEX('All Data'!$E$2:$E$419,MATCH(75,$P$2:$P$419,0))&amp;"","")</f>
        <v/>
      </c>
      <c r="AF77" t="str">
        <f>IFERROR(INDEX('All Data'!$F$2:$F$419,MATCH(75,$S$2:$S$419,0))&amp;"","")</f>
        <v/>
      </c>
      <c r="AH77" t="str">
        <f>IFERROR(INDEX('All Data'!$G$2:$G$419,MATCH(75,$V$2:$V$419,0))&amp;"","")</f>
        <v/>
      </c>
    </row>
    <row r="78" spans="1:34" x14ac:dyDescent="0.3">
      <c r="A78">
        <f>IF(OR($BA1="Any",$BA1=""),1,IF('All Data'!$B78=$BA1,1,0))</f>
        <v>1</v>
      </c>
      <c r="B78">
        <f>IF(OR($BA2="Any",$BA2=""),1,IF('All Data'!$C78=$BA2,1,0))</f>
        <v>1</v>
      </c>
      <c r="C78">
        <f>IF(OR($BA3="Any",$BA3=""),1,IF('All Data'!$D78=$BA3,1,0))</f>
        <v>1</v>
      </c>
      <c r="D78">
        <f>IF(OR($BA4="Any",$BA4=""),1,IF('All Data'!$E78=$BA4,1,0))</f>
        <v>1</v>
      </c>
      <c r="E78">
        <f>IF(OR($BA5="Any",$BA5=""),1,IF('All Data'!$F78=$BA5,1,0))</f>
        <v>1</v>
      </c>
      <c r="F78">
        <f>IF(OR($BA6="Any",$BA6=""),1,IF('All Data'!$G78=$BA6,1,0))</f>
        <v>0</v>
      </c>
      <c r="G78">
        <f>IF(AND(OR($BA$8="",ISNUMBER(SEARCH($BA$8,'All Data'!$K78&amp;" "&amp;'All Data'!$M78))),OR($BA$9="",ISNUMBER(SEARCH($BA$9,'All Data'!$K78&amp;" "&amp;'All Data'!$M78))),OR($BA$10="",ISNUMBER(SEARCH($BA$10,'All Data'!$K78&amp;" "&amp;'All Data'!$M78))),OR($BA$11="",ISNUMBER(SEARCH($BA$11,'All Data'!$K78&amp;" "&amp;'All Data'!$M78))),OR($BA$12="",ISNUMBER(SEARCH($BA$12,'All Data'!$K78&amp;" "&amp;'All Data'!$M78))),OR($BA$13="",ISNUMBER(SEARCH($BA$13,'All Data'!$K78&amp;" "&amp;'All Data'!$M78))),OR($BA$14="",ISNUMBER(SEARCH($BA$14,'All Data'!$K78&amp;" "&amp;'All Data'!$M78))),OR($BA$15="",ISNUMBER(SEARCH($BA$15,'All Data'!$K78&amp;" "&amp;'All Data'!$M78)))),1,0)</f>
        <v>1</v>
      </c>
      <c r="H78">
        <f t="shared" si="6"/>
        <v>1</v>
      </c>
      <c r="I78">
        <f>IF(AND($H78=1,'All Data'!$C78&lt;&gt;"",COUNTIFS($H$2:H77,1,'All Data'!$C$2:$C77,'All Data'!$C78)=0),1,0)</f>
        <v>0</v>
      </c>
      <c r="J78" t="str">
        <f>IF($I78=1,SUM($I$2:I78),"")</f>
        <v/>
      </c>
      <c r="K78">
        <f t="shared" si="7"/>
        <v>1</v>
      </c>
      <c r="L78">
        <f>IF(AND($K78=1,'All Data'!$D78&lt;&gt;"",COUNTIFS($K$2:K77,1,'All Data'!$D$2:$D77,'All Data'!$D78)=0),1,0)</f>
        <v>0</v>
      </c>
      <c r="M78" t="str">
        <f>IF($L78=1,SUM($L$2:L78),"")</f>
        <v/>
      </c>
      <c r="N78">
        <f t="shared" si="8"/>
        <v>1</v>
      </c>
      <c r="O78">
        <f>IF(AND($N78=1,'All Data'!$E78&lt;&gt;"",COUNTIFS($N$2:N77,1,'All Data'!$E$2:$E77,'All Data'!$E78)=0),1,0)</f>
        <v>0</v>
      </c>
      <c r="P78" t="str">
        <f>IF($O78=1,SUM($O$2:O78),"")</f>
        <v/>
      </c>
      <c r="Q78">
        <f t="shared" si="9"/>
        <v>1</v>
      </c>
      <c r="R78">
        <f>IF(AND($Q78=1,'All Data'!$F78&lt;&gt;"",COUNTIFS($Q$2:Q77,1,'All Data'!$F$2:$F77,'All Data'!$F78)=0),1,0)</f>
        <v>0</v>
      </c>
      <c r="S78" t="str">
        <f>IF($R78=1,SUM($R$2:R78),"")</f>
        <v/>
      </c>
      <c r="T78">
        <f t="shared" si="10"/>
        <v>1</v>
      </c>
      <c r="U78">
        <f>IF(AND($T78=1,'All Data'!$G78&lt;&gt;"",COUNTIFS($T$2:T77,1,'All Data'!$G$2:$G77,'All Data'!$G78)=0),1,0)</f>
        <v>0</v>
      </c>
      <c r="V78" t="str">
        <f>IF($U78=1,SUM($U$2:U78),"")</f>
        <v/>
      </c>
      <c r="W78">
        <f t="shared" si="11"/>
        <v>0</v>
      </c>
      <c r="X78" t="str">
        <f>IF($W78=1,SUM($W$2:W78),"")</f>
        <v/>
      </c>
      <c r="Z78" t="str">
        <f>IFERROR(INDEX('All Data'!$C$2:$C$419,MATCH(76,$J$2:$J$419,0))&amp;"","")</f>
        <v/>
      </c>
      <c r="AB78" t="str">
        <f>IFERROR(INDEX('All Data'!$D$2:$D$419,MATCH(76,$M$2:$M$419,0))&amp;"","")</f>
        <v/>
      </c>
      <c r="AD78" t="str">
        <f>IFERROR(INDEX('All Data'!$E$2:$E$419,MATCH(76,$P$2:$P$419,0))&amp;"","")</f>
        <v/>
      </c>
      <c r="AF78" t="str">
        <f>IFERROR(INDEX('All Data'!$F$2:$F$419,MATCH(76,$S$2:$S$419,0))&amp;"","")</f>
        <v/>
      </c>
      <c r="AH78" t="str">
        <f>IFERROR(INDEX('All Data'!$G$2:$G$419,MATCH(76,$V$2:$V$419,0))&amp;"","")</f>
        <v/>
      </c>
    </row>
    <row r="79" spans="1:34" x14ac:dyDescent="0.3">
      <c r="A79">
        <f>IF(OR($BA1="Any",$BA1=""),1,IF('All Data'!$B79=$BA1,1,0))</f>
        <v>1</v>
      </c>
      <c r="B79">
        <f>IF(OR($BA2="Any",$BA2=""),1,IF('All Data'!$C79=$BA2,1,0))</f>
        <v>1</v>
      </c>
      <c r="C79">
        <f>IF(OR($BA3="Any",$BA3=""),1,IF('All Data'!$D79=$BA3,1,0))</f>
        <v>1</v>
      </c>
      <c r="D79">
        <f>IF(OR($BA4="Any",$BA4=""),1,IF('All Data'!$E79=$BA4,1,0))</f>
        <v>1</v>
      </c>
      <c r="E79">
        <f>IF(OR($BA5="Any",$BA5=""),1,IF('All Data'!$F79=$BA5,1,0))</f>
        <v>1</v>
      </c>
      <c r="F79">
        <f>IF(OR($BA6="Any",$BA6=""),1,IF('All Data'!$G79=$BA6,1,0))</f>
        <v>0</v>
      </c>
      <c r="G79">
        <f>IF(AND(OR($BA$8="",ISNUMBER(SEARCH($BA$8,'All Data'!$K79&amp;" "&amp;'All Data'!$M79))),OR($BA$9="",ISNUMBER(SEARCH($BA$9,'All Data'!$K79&amp;" "&amp;'All Data'!$M79))),OR($BA$10="",ISNUMBER(SEARCH($BA$10,'All Data'!$K79&amp;" "&amp;'All Data'!$M79))),OR($BA$11="",ISNUMBER(SEARCH($BA$11,'All Data'!$K79&amp;" "&amp;'All Data'!$M79))),OR($BA$12="",ISNUMBER(SEARCH($BA$12,'All Data'!$K79&amp;" "&amp;'All Data'!$M79))),OR($BA$13="",ISNUMBER(SEARCH($BA$13,'All Data'!$K79&amp;" "&amp;'All Data'!$M79))),OR($BA$14="",ISNUMBER(SEARCH($BA$14,'All Data'!$K79&amp;" "&amp;'All Data'!$M79))),OR($BA$15="",ISNUMBER(SEARCH($BA$15,'All Data'!$K79&amp;" "&amp;'All Data'!$M79)))),1,0)</f>
        <v>1</v>
      </c>
      <c r="H79">
        <f t="shared" si="6"/>
        <v>1</v>
      </c>
      <c r="I79">
        <f>IF(AND($H79=1,'All Data'!$C79&lt;&gt;"",COUNTIFS($H$2:H78,1,'All Data'!$C$2:$C78,'All Data'!$C79)=0),1,0)</f>
        <v>1</v>
      </c>
      <c r="J79">
        <f>IF($I79=1,SUM($I$2:I79),"")</f>
        <v>5</v>
      </c>
      <c r="K79">
        <f t="shared" si="7"/>
        <v>1</v>
      </c>
      <c r="L79">
        <f>IF(AND($K79=1,'All Data'!$D79&lt;&gt;"",COUNTIFS($K$2:K78,1,'All Data'!$D$2:$D78,'All Data'!$D79)=0),1,0)</f>
        <v>1</v>
      </c>
      <c r="M79">
        <f>IF($L79=1,SUM($L$2:L79),"")</f>
        <v>20</v>
      </c>
      <c r="N79">
        <f t="shared" si="8"/>
        <v>1</v>
      </c>
      <c r="O79">
        <f>IF(AND($N79=1,'All Data'!$E79&lt;&gt;"",COUNTIFS($N$2:N78,1,'All Data'!$E$2:$E78,'All Data'!$E79)=0),1,0)</f>
        <v>0</v>
      </c>
      <c r="P79" t="str">
        <f>IF($O79=1,SUM($O$2:O79),"")</f>
        <v/>
      </c>
      <c r="Q79">
        <f t="shared" si="9"/>
        <v>1</v>
      </c>
      <c r="R79">
        <f>IF(AND($Q79=1,'All Data'!$F79&lt;&gt;"",COUNTIFS($Q$2:Q78,1,'All Data'!$F$2:$F78,'All Data'!$F79)=0),1,0)</f>
        <v>0</v>
      </c>
      <c r="S79" t="str">
        <f>IF($R79=1,SUM($R$2:R79),"")</f>
        <v/>
      </c>
      <c r="T79">
        <f t="shared" si="10"/>
        <v>1</v>
      </c>
      <c r="U79">
        <f>IF(AND($T79=1,'All Data'!$G79&lt;&gt;"",COUNTIFS($T$2:T78,1,'All Data'!$G$2:$G78,'All Data'!$G79)=0),1,0)</f>
        <v>1</v>
      </c>
      <c r="V79">
        <f>IF($U79=1,SUM($U$2:U79),"")</f>
        <v>38</v>
      </c>
      <c r="W79">
        <f t="shared" si="11"/>
        <v>0</v>
      </c>
      <c r="X79" t="str">
        <f>IF($W79=1,SUM($W$2:W79),"")</f>
        <v/>
      </c>
      <c r="Z79" t="str">
        <f>IFERROR(INDEX('All Data'!$C$2:$C$419,MATCH(77,$J$2:$J$419,0))&amp;"","")</f>
        <v/>
      </c>
      <c r="AB79" t="str">
        <f>IFERROR(INDEX('All Data'!$D$2:$D$419,MATCH(77,$M$2:$M$419,0))&amp;"","")</f>
        <v/>
      </c>
      <c r="AD79" t="str">
        <f>IFERROR(INDEX('All Data'!$E$2:$E$419,MATCH(77,$P$2:$P$419,0))&amp;"","")</f>
        <v/>
      </c>
      <c r="AF79" t="str">
        <f>IFERROR(INDEX('All Data'!$F$2:$F$419,MATCH(77,$S$2:$S$419,0))&amp;"","")</f>
        <v/>
      </c>
      <c r="AH79" t="str">
        <f>IFERROR(INDEX('All Data'!$G$2:$G$419,MATCH(77,$V$2:$V$419,0))&amp;"","")</f>
        <v/>
      </c>
    </row>
    <row r="80" spans="1:34" x14ac:dyDescent="0.3">
      <c r="A80">
        <f>IF(OR($BA1="Any",$BA1=""),1,IF('All Data'!$B80=$BA1,1,0))</f>
        <v>1</v>
      </c>
      <c r="B80">
        <f>IF(OR($BA2="Any",$BA2=""),1,IF('All Data'!$C80=$BA2,1,0))</f>
        <v>1</v>
      </c>
      <c r="C80">
        <f>IF(OR($BA3="Any",$BA3=""),1,IF('All Data'!$D80=$BA3,1,0))</f>
        <v>1</v>
      </c>
      <c r="D80">
        <f>IF(OR($BA4="Any",$BA4=""),1,IF('All Data'!$E80=$BA4,1,0))</f>
        <v>1</v>
      </c>
      <c r="E80">
        <f>IF(OR($BA5="Any",$BA5=""),1,IF('All Data'!$F80=$BA5,1,0))</f>
        <v>1</v>
      </c>
      <c r="F80">
        <f>IF(OR($BA6="Any",$BA6=""),1,IF('All Data'!$G80=$BA6,1,0))</f>
        <v>0</v>
      </c>
      <c r="G80">
        <f>IF(AND(OR($BA$8="",ISNUMBER(SEARCH($BA$8,'All Data'!$K80&amp;" "&amp;'All Data'!$M80))),OR($BA$9="",ISNUMBER(SEARCH($BA$9,'All Data'!$K80&amp;" "&amp;'All Data'!$M80))),OR($BA$10="",ISNUMBER(SEARCH($BA$10,'All Data'!$K80&amp;" "&amp;'All Data'!$M80))),OR($BA$11="",ISNUMBER(SEARCH($BA$11,'All Data'!$K80&amp;" "&amp;'All Data'!$M80))),OR($BA$12="",ISNUMBER(SEARCH($BA$12,'All Data'!$K80&amp;" "&amp;'All Data'!$M80))),OR($BA$13="",ISNUMBER(SEARCH($BA$13,'All Data'!$K80&amp;" "&amp;'All Data'!$M80))),OR($BA$14="",ISNUMBER(SEARCH($BA$14,'All Data'!$K80&amp;" "&amp;'All Data'!$M80))),OR($BA$15="",ISNUMBER(SEARCH($BA$15,'All Data'!$K80&amp;" "&amp;'All Data'!$M80)))),1,0)</f>
        <v>1</v>
      </c>
      <c r="H80">
        <f t="shared" si="6"/>
        <v>1</v>
      </c>
      <c r="I80">
        <f>IF(AND($H80=1,'All Data'!$C80&lt;&gt;"",COUNTIFS($H$2:H79,1,'All Data'!$C$2:$C79,'All Data'!$C80)=0),1,0)</f>
        <v>0</v>
      </c>
      <c r="J80" t="str">
        <f>IF($I80=1,SUM($I$2:I80),"")</f>
        <v/>
      </c>
      <c r="K80">
        <f t="shared" si="7"/>
        <v>1</v>
      </c>
      <c r="L80">
        <f>IF(AND($K80=1,'All Data'!$D80&lt;&gt;"",COUNTIFS($K$2:K79,1,'All Data'!$D$2:$D79,'All Data'!$D80)=0),1,0)</f>
        <v>1</v>
      </c>
      <c r="M80">
        <f>IF($L80=1,SUM($L$2:L80),"")</f>
        <v>21</v>
      </c>
      <c r="N80">
        <f t="shared" si="8"/>
        <v>1</v>
      </c>
      <c r="O80">
        <f>IF(AND($N80=1,'All Data'!$E80&lt;&gt;"",COUNTIFS($N$2:N79,1,'All Data'!$E$2:$E79,'All Data'!$E80)=0),1,0)</f>
        <v>0</v>
      </c>
      <c r="P80" t="str">
        <f>IF($O80=1,SUM($O$2:O80),"")</f>
        <v/>
      </c>
      <c r="Q80">
        <f t="shared" si="9"/>
        <v>1</v>
      </c>
      <c r="R80">
        <f>IF(AND($Q80=1,'All Data'!$F80&lt;&gt;"",COUNTIFS($Q$2:Q79,1,'All Data'!$F$2:$F79,'All Data'!$F80)=0),1,0)</f>
        <v>0</v>
      </c>
      <c r="S80" t="str">
        <f>IF($R80=1,SUM($R$2:R80),"")</f>
        <v/>
      </c>
      <c r="T80">
        <f t="shared" si="10"/>
        <v>1</v>
      </c>
      <c r="U80">
        <f>IF(AND($T80=1,'All Data'!$G80&lt;&gt;"",COUNTIFS($T$2:T79,1,'All Data'!$G$2:$G79,'All Data'!$G80)=0),1,0)</f>
        <v>1</v>
      </c>
      <c r="V80">
        <f>IF($U80=1,SUM($U$2:U80),"")</f>
        <v>39</v>
      </c>
      <c r="W80">
        <f t="shared" si="11"/>
        <v>0</v>
      </c>
      <c r="X80" t="str">
        <f>IF($W80=1,SUM($W$2:W80),"")</f>
        <v/>
      </c>
      <c r="Z80" t="str">
        <f>IFERROR(INDEX('All Data'!$C$2:$C$419,MATCH(78,$J$2:$J$419,0))&amp;"","")</f>
        <v/>
      </c>
      <c r="AB80" t="str">
        <f>IFERROR(INDEX('All Data'!$D$2:$D$419,MATCH(78,$M$2:$M$419,0))&amp;"","")</f>
        <v/>
      </c>
      <c r="AD80" t="str">
        <f>IFERROR(INDEX('All Data'!$E$2:$E$419,MATCH(78,$P$2:$P$419,0))&amp;"","")</f>
        <v/>
      </c>
      <c r="AF80" t="str">
        <f>IFERROR(INDEX('All Data'!$F$2:$F$419,MATCH(78,$S$2:$S$419,0))&amp;"","")</f>
        <v/>
      </c>
      <c r="AH80" t="str">
        <f>IFERROR(INDEX('All Data'!$G$2:$G$419,MATCH(78,$V$2:$V$419,0))&amp;"","")</f>
        <v/>
      </c>
    </row>
    <row r="81" spans="1:34" x14ac:dyDescent="0.3">
      <c r="A81">
        <f>IF(OR($BA1="Any",$BA1=""),1,IF('All Data'!$B81=$BA1,1,0))</f>
        <v>1</v>
      </c>
      <c r="B81">
        <f>IF(OR($BA2="Any",$BA2=""),1,IF('All Data'!$C81=$BA2,1,0))</f>
        <v>1</v>
      </c>
      <c r="C81">
        <f>IF(OR($BA3="Any",$BA3=""),1,IF('All Data'!$D81=$BA3,1,0))</f>
        <v>1</v>
      </c>
      <c r="D81">
        <f>IF(OR($BA4="Any",$BA4=""),1,IF('All Data'!$E81=$BA4,1,0))</f>
        <v>1</v>
      </c>
      <c r="E81">
        <f>IF(OR($BA5="Any",$BA5=""),1,IF('All Data'!$F81=$BA5,1,0))</f>
        <v>1</v>
      </c>
      <c r="F81">
        <f>IF(OR($BA6="Any",$BA6=""),1,IF('All Data'!$G81=$BA6,1,0))</f>
        <v>0</v>
      </c>
      <c r="G81">
        <f>IF(AND(OR($BA$8="",ISNUMBER(SEARCH($BA$8,'All Data'!$K81&amp;" "&amp;'All Data'!$M81))),OR($BA$9="",ISNUMBER(SEARCH($BA$9,'All Data'!$K81&amp;" "&amp;'All Data'!$M81))),OR($BA$10="",ISNUMBER(SEARCH($BA$10,'All Data'!$K81&amp;" "&amp;'All Data'!$M81))),OR($BA$11="",ISNUMBER(SEARCH($BA$11,'All Data'!$K81&amp;" "&amp;'All Data'!$M81))),OR($BA$12="",ISNUMBER(SEARCH($BA$12,'All Data'!$K81&amp;" "&amp;'All Data'!$M81))),OR($BA$13="",ISNUMBER(SEARCH($BA$13,'All Data'!$K81&amp;" "&amp;'All Data'!$M81))),OR($BA$14="",ISNUMBER(SEARCH($BA$14,'All Data'!$K81&amp;" "&amp;'All Data'!$M81))),OR($BA$15="",ISNUMBER(SEARCH($BA$15,'All Data'!$K81&amp;" "&amp;'All Data'!$M81)))),1,0)</f>
        <v>1</v>
      </c>
      <c r="H81">
        <f t="shared" si="6"/>
        <v>1</v>
      </c>
      <c r="I81">
        <f>IF(AND($H81=1,'All Data'!$C81&lt;&gt;"",COUNTIFS($H$2:H80,1,'All Data'!$C$2:$C80,'All Data'!$C81)=0),1,0)</f>
        <v>0</v>
      </c>
      <c r="J81" t="str">
        <f>IF($I81=1,SUM($I$2:I81),"")</f>
        <v/>
      </c>
      <c r="K81">
        <f t="shared" si="7"/>
        <v>1</v>
      </c>
      <c r="L81">
        <f>IF(AND($K81=1,'All Data'!$D81&lt;&gt;"",COUNTIFS($K$2:K80,1,'All Data'!$D$2:$D80,'All Data'!$D81)=0),1,0)</f>
        <v>0</v>
      </c>
      <c r="M81" t="str">
        <f>IF($L81=1,SUM($L$2:L81),"")</f>
        <v/>
      </c>
      <c r="N81">
        <f t="shared" si="8"/>
        <v>1</v>
      </c>
      <c r="O81">
        <f>IF(AND($N81=1,'All Data'!$E81&lt;&gt;"",COUNTIFS($N$2:N80,1,'All Data'!$E$2:$E80,'All Data'!$E81)=0),1,0)</f>
        <v>0</v>
      </c>
      <c r="P81" t="str">
        <f>IF($O81=1,SUM($O$2:O81),"")</f>
        <v/>
      </c>
      <c r="Q81">
        <f t="shared" si="9"/>
        <v>1</v>
      </c>
      <c r="R81">
        <f>IF(AND($Q81=1,'All Data'!$F81&lt;&gt;"",COUNTIFS($Q$2:Q80,1,'All Data'!$F$2:$F80,'All Data'!$F81)=0),1,0)</f>
        <v>0</v>
      </c>
      <c r="S81" t="str">
        <f>IF($R81=1,SUM($R$2:R81),"")</f>
        <v/>
      </c>
      <c r="T81">
        <f t="shared" si="10"/>
        <v>1</v>
      </c>
      <c r="U81">
        <f>IF(AND($T81=1,'All Data'!$G81&lt;&gt;"",COUNTIFS($T$2:T80,1,'All Data'!$G$2:$G80,'All Data'!$G81)=0),1,0)</f>
        <v>0</v>
      </c>
      <c r="V81" t="str">
        <f>IF($U81=1,SUM($U$2:U81),"")</f>
        <v/>
      </c>
      <c r="W81">
        <f t="shared" si="11"/>
        <v>0</v>
      </c>
      <c r="X81" t="str">
        <f>IF($W81=1,SUM($W$2:W81),"")</f>
        <v/>
      </c>
      <c r="Z81" t="str">
        <f>IFERROR(INDEX('All Data'!$C$2:$C$419,MATCH(79,$J$2:$J$419,0))&amp;"","")</f>
        <v/>
      </c>
      <c r="AB81" t="str">
        <f>IFERROR(INDEX('All Data'!$D$2:$D$419,MATCH(79,$M$2:$M$419,0))&amp;"","")</f>
        <v/>
      </c>
      <c r="AD81" t="str">
        <f>IFERROR(INDEX('All Data'!$E$2:$E$419,MATCH(79,$P$2:$P$419,0))&amp;"","")</f>
        <v/>
      </c>
      <c r="AF81" t="str">
        <f>IFERROR(INDEX('All Data'!$F$2:$F$419,MATCH(79,$S$2:$S$419,0))&amp;"","")</f>
        <v/>
      </c>
      <c r="AH81" t="str">
        <f>IFERROR(INDEX('All Data'!$G$2:$G$419,MATCH(79,$V$2:$V$419,0))&amp;"","")</f>
        <v/>
      </c>
    </row>
    <row r="82" spans="1:34" x14ac:dyDescent="0.3">
      <c r="A82">
        <f>IF(OR($BA1="Any",$BA1=""),1,IF('All Data'!$B82=$BA1,1,0))</f>
        <v>1</v>
      </c>
      <c r="B82">
        <f>IF(OR($BA2="Any",$BA2=""),1,IF('All Data'!$C82=$BA2,1,0))</f>
        <v>1</v>
      </c>
      <c r="C82">
        <f>IF(OR($BA3="Any",$BA3=""),1,IF('All Data'!$D82=$BA3,1,0))</f>
        <v>1</v>
      </c>
      <c r="D82">
        <f>IF(OR($BA4="Any",$BA4=""),1,IF('All Data'!$E82=$BA4,1,0))</f>
        <v>1</v>
      </c>
      <c r="E82">
        <f>IF(OR($BA5="Any",$BA5=""),1,IF('All Data'!$F82=$BA5,1,0))</f>
        <v>1</v>
      </c>
      <c r="F82">
        <f>IF(OR($BA6="Any",$BA6=""),1,IF('All Data'!$G82=$BA6,1,0))</f>
        <v>0</v>
      </c>
      <c r="G82">
        <f>IF(AND(OR($BA$8="",ISNUMBER(SEARCH($BA$8,'All Data'!$K82&amp;" "&amp;'All Data'!$M82))),OR($BA$9="",ISNUMBER(SEARCH($BA$9,'All Data'!$K82&amp;" "&amp;'All Data'!$M82))),OR($BA$10="",ISNUMBER(SEARCH($BA$10,'All Data'!$K82&amp;" "&amp;'All Data'!$M82))),OR($BA$11="",ISNUMBER(SEARCH($BA$11,'All Data'!$K82&amp;" "&amp;'All Data'!$M82))),OR($BA$12="",ISNUMBER(SEARCH($BA$12,'All Data'!$K82&amp;" "&amp;'All Data'!$M82))),OR($BA$13="",ISNUMBER(SEARCH($BA$13,'All Data'!$K82&amp;" "&amp;'All Data'!$M82))),OR($BA$14="",ISNUMBER(SEARCH($BA$14,'All Data'!$K82&amp;" "&amp;'All Data'!$M82))),OR($BA$15="",ISNUMBER(SEARCH($BA$15,'All Data'!$K82&amp;" "&amp;'All Data'!$M82)))),1,0)</f>
        <v>1</v>
      </c>
      <c r="H82">
        <f t="shared" si="6"/>
        <v>1</v>
      </c>
      <c r="I82">
        <f>IF(AND($H82=1,'All Data'!$C82&lt;&gt;"",COUNTIFS($H$2:H81,1,'All Data'!$C$2:$C81,'All Data'!$C82)=0),1,0)</f>
        <v>0</v>
      </c>
      <c r="J82" t="str">
        <f>IF($I82=1,SUM($I$2:I82),"")</f>
        <v/>
      </c>
      <c r="K82">
        <f t="shared" si="7"/>
        <v>1</v>
      </c>
      <c r="L82">
        <f>IF(AND($K82=1,'All Data'!$D82&lt;&gt;"",COUNTIFS($K$2:K81,1,'All Data'!$D$2:$D81,'All Data'!$D82)=0),1,0)</f>
        <v>0</v>
      </c>
      <c r="M82" t="str">
        <f>IF($L82=1,SUM($L$2:L82),"")</f>
        <v/>
      </c>
      <c r="N82">
        <f t="shared" si="8"/>
        <v>1</v>
      </c>
      <c r="O82">
        <f>IF(AND($N82=1,'All Data'!$E82&lt;&gt;"",COUNTIFS($N$2:N81,1,'All Data'!$E$2:$E81,'All Data'!$E82)=0),1,0)</f>
        <v>0</v>
      </c>
      <c r="P82" t="str">
        <f>IF($O82=1,SUM($O$2:O82),"")</f>
        <v/>
      </c>
      <c r="Q82">
        <f t="shared" si="9"/>
        <v>1</v>
      </c>
      <c r="R82">
        <f>IF(AND($Q82=1,'All Data'!$F82&lt;&gt;"",COUNTIFS($Q$2:Q81,1,'All Data'!$F$2:$F81,'All Data'!$F82)=0),1,0)</f>
        <v>0</v>
      </c>
      <c r="S82" t="str">
        <f>IF($R82=1,SUM($R$2:R82),"")</f>
        <v/>
      </c>
      <c r="T82">
        <f t="shared" si="10"/>
        <v>1</v>
      </c>
      <c r="U82">
        <f>IF(AND($T82=1,'All Data'!$G82&lt;&gt;"",COUNTIFS($T$2:T81,1,'All Data'!$G$2:$G81,'All Data'!$G82)=0),1,0)</f>
        <v>1</v>
      </c>
      <c r="V82">
        <f>IF($U82=1,SUM($U$2:U82),"")</f>
        <v>40</v>
      </c>
      <c r="W82">
        <f t="shared" si="11"/>
        <v>0</v>
      </c>
      <c r="X82" t="str">
        <f>IF($W82=1,SUM($W$2:W82),"")</f>
        <v/>
      </c>
      <c r="Z82" t="str">
        <f>IFERROR(INDEX('All Data'!$C$2:$C$419,MATCH(80,$J$2:$J$419,0))&amp;"","")</f>
        <v/>
      </c>
      <c r="AB82" t="str">
        <f>IFERROR(INDEX('All Data'!$D$2:$D$419,MATCH(80,$M$2:$M$419,0))&amp;"","")</f>
        <v/>
      </c>
      <c r="AD82" t="str">
        <f>IFERROR(INDEX('All Data'!$E$2:$E$419,MATCH(80,$P$2:$P$419,0))&amp;"","")</f>
        <v/>
      </c>
      <c r="AF82" t="str">
        <f>IFERROR(INDEX('All Data'!$F$2:$F$419,MATCH(80,$S$2:$S$419,0))&amp;"","")</f>
        <v/>
      </c>
      <c r="AH82" t="str">
        <f>IFERROR(INDEX('All Data'!$G$2:$G$419,MATCH(80,$V$2:$V$419,0))&amp;"","")</f>
        <v/>
      </c>
    </row>
    <row r="83" spans="1:34" x14ac:dyDescent="0.3">
      <c r="A83">
        <f>IF(OR($BA1="Any",$BA1=""),1,IF('All Data'!$B83=$BA1,1,0))</f>
        <v>1</v>
      </c>
      <c r="B83">
        <f>IF(OR($BA2="Any",$BA2=""),1,IF('All Data'!$C83=$BA2,1,0))</f>
        <v>1</v>
      </c>
      <c r="C83">
        <f>IF(OR($BA3="Any",$BA3=""),1,IF('All Data'!$D83=$BA3,1,0))</f>
        <v>1</v>
      </c>
      <c r="D83">
        <f>IF(OR($BA4="Any",$BA4=""),1,IF('All Data'!$E83=$BA4,1,0))</f>
        <v>1</v>
      </c>
      <c r="E83">
        <f>IF(OR($BA5="Any",$BA5=""),1,IF('All Data'!$F83=$BA5,1,0))</f>
        <v>1</v>
      </c>
      <c r="F83">
        <f>IF(OR($BA6="Any",$BA6=""),1,IF('All Data'!$G83=$BA6,1,0))</f>
        <v>0</v>
      </c>
      <c r="G83">
        <f>IF(AND(OR($BA$8="",ISNUMBER(SEARCH($BA$8,'All Data'!$K83&amp;" "&amp;'All Data'!$M83))),OR($BA$9="",ISNUMBER(SEARCH($BA$9,'All Data'!$K83&amp;" "&amp;'All Data'!$M83))),OR($BA$10="",ISNUMBER(SEARCH($BA$10,'All Data'!$K83&amp;" "&amp;'All Data'!$M83))),OR($BA$11="",ISNUMBER(SEARCH($BA$11,'All Data'!$K83&amp;" "&amp;'All Data'!$M83))),OR($BA$12="",ISNUMBER(SEARCH($BA$12,'All Data'!$K83&amp;" "&amp;'All Data'!$M83))),OR($BA$13="",ISNUMBER(SEARCH($BA$13,'All Data'!$K83&amp;" "&amp;'All Data'!$M83))),OR($BA$14="",ISNUMBER(SEARCH($BA$14,'All Data'!$K83&amp;" "&amp;'All Data'!$M83))),OR($BA$15="",ISNUMBER(SEARCH($BA$15,'All Data'!$K83&amp;" "&amp;'All Data'!$M83)))),1,0)</f>
        <v>1</v>
      </c>
      <c r="H83">
        <f t="shared" si="6"/>
        <v>1</v>
      </c>
      <c r="I83">
        <f>IF(AND($H83=1,'All Data'!$C83&lt;&gt;"",COUNTIFS($H$2:H82,1,'All Data'!$C$2:$C82,'All Data'!$C83)=0),1,0)</f>
        <v>0</v>
      </c>
      <c r="J83" t="str">
        <f>IF($I83=1,SUM($I$2:I83),"")</f>
        <v/>
      </c>
      <c r="K83">
        <f t="shared" si="7"/>
        <v>1</v>
      </c>
      <c r="L83">
        <f>IF(AND($K83=1,'All Data'!$D83&lt;&gt;"",COUNTIFS($K$2:K82,1,'All Data'!$D$2:$D82,'All Data'!$D83)=0),1,0)</f>
        <v>0</v>
      </c>
      <c r="M83" t="str">
        <f>IF($L83=1,SUM($L$2:L83),"")</f>
        <v/>
      </c>
      <c r="N83">
        <f t="shared" si="8"/>
        <v>1</v>
      </c>
      <c r="O83">
        <f>IF(AND($N83=1,'All Data'!$E83&lt;&gt;"",COUNTIFS($N$2:N82,1,'All Data'!$E$2:$E82,'All Data'!$E83)=0),1,0)</f>
        <v>0</v>
      </c>
      <c r="P83" t="str">
        <f>IF($O83=1,SUM($O$2:O83),"")</f>
        <v/>
      </c>
      <c r="Q83">
        <f t="shared" si="9"/>
        <v>1</v>
      </c>
      <c r="R83">
        <f>IF(AND($Q83=1,'All Data'!$F83&lt;&gt;"",COUNTIFS($Q$2:Q82,1,'All Data'!$F$2:$F82,'All Data'!$F83)=0),1,0)</f>
        <v>0</v>
      </c>
      <c r="S83" t="str">
        <f>IF($R83=1,SUM($R$2:R83),"")</f>
        <v/>
      </c>
      <c r="T83">
        <f t="shared" si="10"/>
        <v>1</v>
      </c>
      <c r="U83">
        <f>IF(AND($T83=1,'All Data'!$G83&lt;&gt;"",COUNTIFS($T$2:T82,1,'All Data'!$G$2:$G82,'All Data'!$G83)=0),1,0)</f>
        <v>0</v>
      </c>
      <c r="V83" t="str">
        <f>IF($U83=1,SUM($U$2:U83),"")</f>
        <v/>
      </c>
      <c r="W83">
        <f t="shared" si="11"/>
        <v>0</v>
      </c>
      <c r="X83" t="str">
        <f>IF($W83=1,SUM($W$2:W83),"")</f>
        <v/>
      </c>
      <c r="Z83" t="str">
        <f>IFERROR(INDEX('All Data'!$C$2:$C$419,MATCH(81,$J$2:$J$419,0))&amp;"","")</f>
        <v/>
      </c>
      <c r="AB83" t="str">
        <f>IFERROR(INDEX('All Data'!$D$2:$D$419,MATCH(81,$M$2:$M$419,0))&amp;"","")</f>
        <v/>
      </c>
      <c r="AD83" t="str">
        <f>IFERROR(INDEX('All Data'!$E$2:$E$419,MATCH(81,$P$2:$P$419,0))&amp;"","")</f>
        <v/>
      </c>
      <c r="AF83" t="str">
        <f>IFERROR(INDEX('All Data'!$F$2:$F$419,MATCH(81,$S$2:$S$419,0))&amp;"","")</f>
        <v/>
      </c>
      <c r="AH83" t="str">
        <f>IFERROR(INDEX('All Data'!$G$2:$G$419,MATCH(81,$V$2:$V$419,0))&amp;"","")</f>
        <v/>
      </c>
    </row>
    <row r="84" spans="1:34" x14ac:dyDescent="0.3">
      <c r="A84">
        <f>IF(OR($BA1="Any",$BA1=""),1,IF('All Data'!$B84=$BA1,1,0))</f>
        <v>1</v>
      </c>
      <c r="B84">
        <f>IF(OR($BA2="Any",$BA2=""),1,IF('All Data'!$C84=$BA2,1,0))</f>
        <v>1</v>
      </c>
      <c r="C84">
        <f>IF(OR($BA3="Any",$BA3=""),1,IF('All Data'!$D84=$BA3,1,0))</f>
        <v>1</v>
      </c>
      <c r="D84">
        <f>IF(OR($BA4="Any",$BA4=""),1,IF('All Data'!$E84=$BA4,1,0))</f>
        <v>1</v>
      </c>
      <c r="E84">
        <f>IF(OR($BA5="Any",$BA5=""),1,IF('All Data'!$F84=$BA5,1,0))</f>
        <v>1</v>
      </c>
      <c r="F84">
        <f>IF(OR($BA6="Any",$BA6=""),1,IF('All Data'!$G84=$BA6,1,0))</f>
        <v>0</v>
      </c>
      <c r="G84">
        <f>IF(AND(OR($BA$8="",ISNUMBER(SEARCH($BA$8,'All Data'!$K84&amp;" "&amp;'All Data'!$M84))),OR($BA$9="",ISNUMBER(SEARCH($BA$9,'All Data'!$K84&amp;" "&amp;'All Data'!$M84))),OR($BA$10="",ISNUMBER(SEARCH($BA$10,'All Data'!$K84&amp;" "&amp;'All Data'!$M84))),OR($BA$11="",ISNUMBER(SEARCH($BA$11,'All Data'!$K84&amp;" "&amp;'All Data'!$M84))),OR($BA$12="",ISNUMBER(SEARCH($BA$12,'All Data'!$K84&amp;" "&amp;'All Data'!$M84))),OR($BA$13="",ISNUMBER(SEARCH($BA$13,'All Data'!$K84&amp;" "&amp;'All Data'!$M84))),OR($BA$14="",ISNUMBER(SEARCH($BA$14,'All Data'!$K84&amp;" "&amp;'All Data'!$M84))),OR($BA$15="",ISNUMBER(SEARCH($BA$15,'All Data'!$K84&amp;" "&amp;'All Data'!$M84)))),1,0)</f>
        <v>1</v>
      </c>
      <c r="H84">
        <f t="shared" si="6"/>
        <v>1</v>
      </c>
      <c r="I84">
        <f>IF(AND($H84=1,'All Data'!$C84&lt;&gt;"",COUNTIFS($H$2:H83,1,'All Data'!$C$2:$C83,'All Data'!$C84)=0),1,0)</f>
        <v>0</v>
      </c>
      <c r="J84" t="str">
        <f>IF($I84=1,SUM($I$2:I84),"")</f>
        <v/>
      </c>
      <c r="K84">
        <f t="shared" si="7"/>
        <v>1</v>
      </c>
      <c r="L84">
        <f>IF(AND($K84=1,'All Data'!$D84&lt;&gt;"",COUNTIFS($K$2:K83,1,'All Data'!$D$2:$D83,'All Data'!$D84)=0),1,0)</f>
        <v>0</v>
      </c>
      <c r="M84" t="str">
        <f>IF($L84=1,SUM($L$2:L84),"")</f>
        <v/>
      </c>
      <c r="N84">
        <f t="shared" si="8"/>
        <v>1</v>
      </c>
      <c r="O84">
        <f>IF(AND($N84=1,'All Data'!$E84&lt;&gt;"",COUNTIFS($N$2:N83,1,'All Data'!$E$2:$E83,'All Data'!$E84)=0),1,0)</f>
        <v>0</v>
      </c>
      <c r="P84" t="str">
        <f>IF($O84=1,SUM($O$2:O84),"")</f>
        <v/>
      </c>
      <c r="Q84">
        <f t="shared" si="9"/>
        <v>1</v>
      </c>
      <c r="R84">
        <f>IF(AND($Q84=1,'All Data'!$F84&lt;&gt;"",COUNTIFS($Q$2:Q83,1,'All Data'!$F$2:$F83,'All Data'!$F84)=0),1,0)</f>
        <v>0</v>
      </c>
      <c r="S84" t="str">
        <f>IF($R84=1,SUM($R$2:R84),"")</f>
        <v/>
      </c>
      <c r="T84">
        <f t="shared" si="10"/>
        <v>1</v>
      </c>
      <c r="U84">
        <f>IF(AND($T84=1,'All Data'!$G84&lt;&gt;"",COUNTIFS($T$2:T83,1,'All Data'!$G$2:$G83,'All Data'!$G84)=0),1,0)</f>
        <v>0</v>
      </c>
      <c r="V84" t="str">
        <f>IF($U84=1,SUM($U$2:U84),"")</f>
        <v/>
      </c>
      <c r="W84">
        <f t="shared" si="11"/>
        <v>0</v>
      </c>
      <c r="X84" t="str">
        <f>IF($W84=1,SUM($W$2:W84),"")</f>
        <v/>
      </c>
      <c r="Z84" t="str">
        <f>IFERROR(INDEX('All Data'!$C$2:$C$419,MATCH(82,$J$2:$J$419,0))&amp;"","")</f>
        <v/>
      </c>
      <c r="AB84" t="str">
        <f>IFERROR(INDEX('All Data'!$D$2:$D$419,MATCH(82,$M$2:$M$419,0))&amp;"","")</f>
        <v/>
      </c>
      <c r="AD84" t="str">
        <f>IFERROR(INDEX('All Data'!$E$2:$E$419,MATCH(82,$P$2:$P$419,0))&amp;"","")</f>
        <v/>
      </c>
      <c r="AF84" t="str">
        <f>IFERROR(INDEX('All Data'!$F$2:$F$419,MATCH(82,$S$2:$S$419,0))&amp;"","")</f>
        <v/>
      </c>
      <c r="AH84" t="str">
        <f>IFERROR(INDEX('All Data'!$G$2:$G$419,MATCH(82,$V$2:$V$419,0))&amp;"","")</f>
        <v/>
      </c>
    </row>
    <row r="85" spans="1:34" x14ac:dyDescent="0.3">
      <c r="A85">
        <f>IF(OR($BA1="Any",$BA1=""),1,IF('All Data'!$B85=$BA1,1,0))</f>
        <v>1</v>
      </c>
      <c r="B85">
        <f>IF(OR($BA2="Any",$BA2=""),1,IF('All Data'!$C85=$BA2,1,0))</f>
        <v>1</v>
      </c>
      <c r="C85">
        <f>IF(OR($BA3="Any",$BA3=""),1,IF('All Data'!$D85=$BA3,1,0))</f>
        <v>1</v>
      </c>
      <c r="D85">
        <f>IF(OR($BA4="Any",$BA4=""),1,IF('All Data'!$E85=$BA4,1,0))</f>
        <v>1</v>
      </c>
      <c r="E85">
        <f>IF(OR($BA5="Any",$BA5=""),1,IF('All Data'!$F85=$BA5,1,0))</f>
        <v>1</v>
      </c>
      <c r="F85">
        <f>IF(OR($BA6="Any",$BA6=""),1,IF('All Data'!$G85=$BA6,1,0))</f>
        <v>0</v>
      </c>
      <c r="G85">
        <f>IF(AND(OR($BA$8="",ISNUMBER(SEARCH($BA$8,'All Data'!$K85&amp;" "&amp;'All Data'!$M85))),OR($BA$9="",ISNUMBER(SEARCH($BA$9,'All Data'!$K85&amp;" "&amp;'All Data'!$M85))),OR($BA$10="",ISNUMBER(SEARCH($BA$10,'All Data'!$K85&amp;" "&amp;'All Data'!$M85))),OR($BA$11="",ISNUMBER(SEARCH($BA$11,'All Data'!$K85&amp;" "&amp;'All Data'!$M85))),OR($BA$12="",ISNUMBER(SEARCH($BA$12,'All Data'!$K85&amp;" "&amp;'All Data'!$M85))),OR($BA$13="",ISNUMBER(SEARCH($BA$13,'All Data'!$K85&amp;" "&amp;'All Data'!$M85))),OR($BA$14="",ISNUMBER(SEARCH($BA$14,'All Data'!$K85&amp;" "&amp;'All Data'!$M85))),OR($BA$15="",ISNUMBER(SEARCH($BA$15,'All Data'!$K85&amp;" "&amp;'All Data'!$M85)))),1,0)</f>
        <v>1</v>
      </c>
      <c r="H85">
        <f t="shared" si="6"/>
        <v>1</v>
      </c>
      <c r="I85">
        <f>IF(AND($H85=1,'All Data'!$C85&lt;&gt;"",COUNTIFS($H$2:H84,1,'All Data'!$C$2:$C84,'All Data'!$C85)=0),1,0)</f>
        <v>0</v>
      </c>
      <c r="J85" t="str">
        <f>IF($I85=1,SUM($I$2:I85),"")</f>
        <v/>
      </c>
      <c r="K85">
        <f t="shared" si="7"/>
        <v>1</v>
      </c>
      <c r="L85">
        <f>IF(AND($K85=1,'All Data'!$D85&lt;&gt;"",COUNTIFS($K$2:K84,1,'All Data'!$D$2:$D84,'All Data'!$D85)=0),1,0)</f>
        <v>1</v>
      </c>
      <c r="M85">
        <f>IF($L85=1,SUM($L$2:L85),"")</f>
        <v>22</v>
      </c>
      <c r="N85">
        <f t="shared" si="8"/>
        <v>1</v>
      </c>
      <c r="O85">
        <f>IF(AND($N85=1,'All Data'!$E85&lt;&gt;"",COUNTIFS($N$2:N84,1,'All Data'!$E$2:$E84,'All Data'!$E85)=0),1,0)</f>
        <v>0</v>
      </c>
      <c r="P85" t="str">
        <f>IF($O85=1,SUM($O$2:O85),"")</f>
        <v/>
      </c>
      <c r="Q85">
        <f t="shared" si="9"/>
        <v>1</v>
      </c>
      <c r="R85">
        <f>IF(AND($Q85=1,'All Data'!$F85&lt;&gt;"",COUNTIFS($Q$2:Q84,1,'All Data'!$F$2:$F84,'All Data'!$F85)=0),1,0)</f>
        <v>0</v>
      </c>
      <c r="S85" t="str">
        <f>IF($R85=1,SUM($R$2:R85),"")</f>
        <v/>
      </c>
      <c r="T85">
        <f t="shared" si="10"/>
        <v>1</v>
      </c>
      <c r="U85">
        <f>IF(AND($T85=1,'All Data'!$G85&lt;&gt;"",COUNTIFS($T$2:T84,1,'All Data'!$G$2:$G84,'All Data'!$G85)=0),1,0)</f>
        <v>1</v>
      </c>
      <c r="V85">
        <f>IF($U85=1,SUM($U$2:U85),"")</f>
        <v>41</v>
      </c>
      <c r="W85">
        <f t="shared" si="11"/>
        <v>0</v>
      </c>
      <c r="X85" t="str">
        <f>IF($W85=1,SUM($W$2:W85),"")</f>
        <v/>
      </c>
      <c r="Z85" t="str">
        <f>IFERROR(INDEX('All Data'!$C$2:$C$419,MATCH(83,$J$2:$J$419,0))&amp;"","")</f>
        <v/>
      </c>
      <c r="AB85" t="str">
        <f>IFERROR(INDEX('All Data'!$D$2:$D$419,MATCH(83,$M$2:$M$419,0))&amp;"","")</f>
        <v/>
      </c>
      <c r="AD85" t="str">
        <f>IFERROR(INDEX('All Data'!$E$2:$E$419,MATCH(83,$P$2:$P$419,0))&amp;"","")</f>
        <v/>
      </c>
      <c r="AF85" t="str">
        <f>IFERROR(INDEX('All Data'!$F$2:$F$419,MATCH(83,$S$2:$S$419,0))&amp;"","")</f>
        <v/>
      </c>
      <c r="AH85" t="str">
        <f>IFERROR(INDEX('All Data'!$G$2:$G$419,MATCH(83,$V$2:$V$419,0))&amp;"","")</f>
        <v/>
      </c>
    </row>
    <row r="86" spans="1:34" x14ac:dyDescent="0.3">
      <c r="A86">
        <f>IF(OR($BA1="Any",$BA1=""),1,IF('All Data'!$B86=$BA1,1,0))</f>
        <v>1</v>
      </c>
      <c r="B86">
        <f>IF(OR($BA2="Any",$BA2=""),1,IF('All Data'!$C86=$BA2,1,0))</f>
        <v>1</v>
      </c>
      <c r="C86">
        <f>IF(OR($BA3="Any",$BA3=""),1,IF('All Data'!$D86=$BA3,1,0))</f>
        <v>1</v>
      </c>
      <c r="D86">
        <f>IF(OR($BA4="Any",$BA4=""),1,IF('All Data'!$E86=$BA4,1,0))</f>
        <v>1</v>
      </c>
      <c r="E86">
        <f>IF(OR($BA5="Any",$BA5=""),1,IF('All Data'!$F86=$BA5,1,0))</f>
        <v>1</v>
      </c>
      <c r="F86">
        <f>IF(OR($BA6="Any",$BA6=""),1,IF('All Data'!$G86=$BA6,1,0))</f>
        <v>0</v>
      </c>
      <c r="G86">
        <f>IF(AND(OR($BA$8="",ISNUMBER(SEARCH($BA$8,'All Data'!$K86&amp;" "&amp;'All Data'!$M86))),OR($BA$9="",ISNUMBER(SEARCH($BA$9,'All Data'!$K86&amp;" "&amp;'All Data'!$M86))),OR($BA$10="",ISNUMBER(SEARCH($BA$10,'All Data'!$K86&amp;" "&amp;'All Data'!$M86))),OR($BA$11="",ISNUMBER(SEARCH($BA$11,'All Data'!$K86&amp;" "&amp;'All Data'!$M86))),OR($BA$12="",ISNUMBER(SEARCH($BA$12,'All Data'!$K86&amp;" "&amp;'All Data'!$M86))),OR($BA$13="",ISNUMBER(SEARCH($BA$13,'All Data'!$K86&amp;" "&amp;'All Data'!$M86))),OR($BA$14="",ISNUMBER(SEARCH($BA$14,'All Data'!$K86&amp;" "&amp;'All Data'!$M86))),OR($BA$15="",ISNUMBER(SEARCH($BA$15,'All Data'!$K86&amp;" "&amp;'All Data'!$M86)))),1,0)</f>
        <v>1</v>
      </c>
      <c r="H86">
        <f t="shared" si="6"/>
        <v>1</v>
      </c>
      <c r="I86">
        <f>IF(AND($H86=1,'All Data'!$C86&lt;&gt;"",COUNTIFS($H$2:H85,1,'All Data'!$C$2:$C85,'All Data'!$C86)=0),1,0)</f>
        <v>0</v>
      </c>
      <c r="J86" t="str">
        <f>IF($I86=1,SUM($I$2:I86),"")</f>
        <v/>
      </c>
      <c r="K86">
        <f t="shared" si="7"/>
        <v>1</v>
      </c>
      <c r="L86">
        <f>IF(AND($K86=1,'All Data'!$D86&lt;&gt;"",COUNTIFS($K$2:K85,1,'All Data'!$D$2:$D85,'All Data'!$D86)=0),1,0)</f>
        <v>0</v>
      </c>
      <c r="M86" t="str">
        <f>IF($L86=1,SUM($L$2:L86),"")</f>
        <v/>
      </c>
      <c r="N86">
        <f t="shared" si="8"/>
        <v>1</v>
      </c>
      <c r="O86">
        <f>IF(AND($N86=1,'All Data'!$E86&lt;&gt;"",COUNTIFS($N$2:N85,1,'All Data'!$E$2:$E85,'All Data'!$E86)=0),1,0)</f>
        <v>0</v>
      </c>
      <c r="P86" t="str">
        <f>IF($O86=1,SUM($O$2:O86),"")</f>
        <v/>
      </c>
      <c r="Q86">
        <f t="shared" si="9"/>
        <v>1</v>
      </c>
      <c r="R86">
        <f>IF(AND($Q86=1,'All Data'!$F86&lt;&gt;"",COUNTIFS($Q$2:Q85,1,'All Data'!$F$2:$F85,'All Data'!$F86)=0),1,0)</f>
        <v>0</v>
      </c>
      <c r="S86" t="str">
        <f>IF($R86=1,SUM($R$2:R86),"")</f>
        <v/>
      </c>
      <c r="T86">
        <f t="shared" si="10"/>
        <v>1</v>
      </c>
      <c r="U86">
        <f>IF(AND($T86=1,'All Data'!$G86&lt;&gt;"",COUNTIFS($T$2:T85,1,'All Data'!$G$2:$G85,'All Data'!$G86)=0),1,0)</f>
        <v>0</v>
      </c>
      <c r="V86" t="str">
        <f>IF($U86=1,SUM($U$2:U86),"")</f>
        <v/>
      </c>
      <c r="W86">
        <f t="shared" si="11"/>
        <v>0</v>
      </c>
      <c r="X86" t="str">
        <f>IF($W86=1,SUM($W$2:W86),"")</f>
        <v/>
      </c>
      <c r="Z86" t="str">
        <f>IFERROR(INDEX('All Data'!$C$2:$C$419,MATCH(84,$J$2:$J$419,0))&amp;"","")</f>
        <v/>
      </c>
      <c r="AB86" t="str">
        <f>IFERROR(INDEX('All Data'!$D$2:$D$419,MATCH(84,$M$2:$M$419,0))&amp;"","")</f>
        <v/>
      </c>
      <c r="AD86" t="str">
        <f>IFERROR(INDEX('All Data'!$E$2:$E$419,MATCH(84,$P$2:$P$419,0))&amp;"","")</f>
        <v/>
      </c>
      <c r="AF86" t="str">
        <f>IFERROR(INDEX('All Data'!$F$2:$F$419,MATCH(84,$S$2:$S$419,0))&amp;"","")</f>
        <v/>
      </c>
      <c r="AH86" t="str">
        <f>IFERROR(INDEX('All Data'!$G$2:$G$419,MATCH(84,$V$2:$V$419,0))&amp;"","")</f>
        <v/>
      </c>
    </row>
    <row r="87" spans="1:34" x14ac:dyDescent="0.3">
      <c r="A87">
        <f>IF(OR($BA1="Any",$BA1=""),1,IF('All Data'!$B87=$BA1,1,0))</f>
        <v>1</v>
      </c>
      <c r="B87">
        <f>IF(OR($BA2="Any",$BA2=""),1,IF('All Data'!$C87=$BA2,1,0))</f>
        <v>1</v>
      </c>
      <c r="C87">
        <f>IF(OR($BA3="Any",$BA3=""),1,IF('All Data'!$D87=$BA3,1,0))</f>
        <v>1</v>
      </c>
      <c r="D87">
        <f>IF(OR($BA4="Any",$BA4=""),1,IF('All Data'!$E87=$BA4,1,0))</f>
        <v>1</v>
      </c>
      <c r="E87">
        <f>IF(OR($BA5="Any",$BA5=""),1,IF('All Data'!$F87=$BA5,1,0))</f>
        <v>1</v>
      </c>
      <c r="F87">
        <f>IF(OR($BA6="Any",$BA6=""),1,IF('All Data'!$G87=$BA6,1,0))</f>
        <v>1</v>
      </c>
      <c r="G87">
        <f>IF(AND(OR($BA$8="",ISNUMBER(SEARCH($BA$8,'All Data'!$K87&amp;" "&amp;'All Data'!$M87))),OR($BA$9="",ISNUMBER(SEARCH($BA$9,'All Data'!$K87&amp;" "&amp;'All Data'!$M87))),OR($BA$10="",ISNUMBER(SEARCH($BA$10,'All Data'!$K87&amp;" "&amp;'All Data'!$M87))),OR($BA$11="",ISNUMBER(SEARCH($BA$11,'All Data'!$K87&amp;" "&amp;'All Data'!$M87))),OR($BA$12="",ISNUMBER(SEARCH($BA$12,'All Data'!$K87&amp;" "&amp;'All Data'!$M87))),OR($BA$13="",ISNUMBER(SEARCH($BA$13,'All Data'!$K87&amp;" "&amp;'All Data'!$M87))),OR($BA$14="",ISNUMBER(SEARCH($BA$14,'All Data'!$K87&amp;" "&amp;'All Data'!$M87))),OR($BA$15="",ISNUMBER(SEARCH($BA$15,'All Data'!$K87&amp;" "&amp;'All Data'!$M87)))),1,0)</f>
        <v>1</v>
      </c>
      <c r="H87">
        <f t="shared" si="6"/>
        <v>1</v>
      </c>
      <c r="I87">
        <f>IF(AND($H87=1,'All Data'!$C87&lt;&gt;"",COUNTIFS($H$2:H86,1,'All Data'!$C$2:$C86,'All Data'!$C87)=0),1,0)</f>
        <v>0</v>
      </c>
      <c r="J87" t="str">
        <f>IF($I87=1,SUM($I$2:I87),"")</f>
        <v/>
      </c>
      <c r="K87">
        <f t="shared" si="7"/>
        <v>1</v>
      </c>
      <c r="L87">
        <f>IF(AND($K87=1,'All Data'!$D87&lt;&gt;"",COUNTIFS($K$2:K86,1,'All Data'!$D$2:$D86,'All Data'!$D87)=0),1,0)</f>
        <v>0</v>
      </c>
      <c r="M87" t="str">
        <f>IF($L87=1,SUM($L$2:L87),"")</f>
        <v/>
      </c>
      <c r="N87">
        <f t="shared" si="8"/>
        <v>1</v>
      </c>
      <c r="O87">
        <f>IF(AND($N87=1,'All Data'!$E87&lt;&gt;"",COUNTIFS($N$2:N86,1,'All Data'!$E$2:$E86,'All Data'!$E87)=0),1,0)</f>
        <v>0</v>
      </c>
      <c r="P87" t="str">
        <f>IF($O87=1,SUM($O$2:O87),"")</f>
        <v/>
      </c>
      <c r="Q87">
        <f t="shared" si="9"/>
        <v>1</v>
      </c>
      <c r="R87">
        <f>IF(AND($Q87=1,'All Data'!$F87&lt;&gt;"",COUNTIFS($Q$2:Q86,1,'All Data'!$F$2:$F86,'All Data'!$F87)=0),1,0)</f>
        <v>0</v>
      </c>
      <c r="S87" t="str">
        <f>IF($R87=1,SUM($R$2:R87),"")</f>
        <v/>
      </c>
      <c r="T87">
        <f t="shared" si="10"/>
        <v>1</v>
      </c>
      <c r="U87">
        <f>IF(AND($T87=1,'All Data'!$G87&lt;&gt;"",COUNTIFS($T$2:T86,1,'All Data'!$G$2:$G86,'All Data'!$G87)=0),1,0)</f>
        <v>0</v>
      </c>
      <c r="V87" t="str">
        <f>IF($U87=1,SUM($U$2:U87),"")</f>
        <v/>
      </c>
      <c r="W87">
        <f t="shared" si="11"/>
        <v>1</v>
      </c>
      <c r="X87">
        <f>IF($W87=1,SUM($W$2:W87),"")</f>
        <v>3</v>
      </c>
      <c r="Z87" t="str">
        <f>IFERROR(INDEX('All Data'!$C$2:$C$419,MATCH(85,$J$2:$J$419,0))&amp;"","")</f>
        <v/>
      </c>
      <c r="AB87" t="str">
        <f>IFERROR(INDEX('All Data'!$D$2:$D$419,MATCH(85,$M$2:$M$419,0))&amp;"","")</f>
        <v/>
      </c>
      <c r="AD87" t="str">
        <f>IFERROR(INDEX('All Data'!$E$2:$E$419,MATCH(85,$P$2:$P$419,0))&amp;"","")</f>
        <v/>
      </c>
      <c r="AF87" t="str">
        <f>IFERROR(INDEX('All Data'!$F$2:$F$419,MATCH(85,$S$2:$S$419,0))&amp;"","")</f>
        <v/>
      </c>
      <c r="AH87" t="str">
        <f>IFERROR(INDEX('All Data'!$G$2:$G$419,MATCH(85,$V$2:$V$419,0))&amp;"","")</f>
        <v/>
      </c>
    </row>
    <row r="88" spans="1:34" x14ac:dyDescent="0.3">
      <c r="A88">
        <f>IF(OR($BA1="Any",$BA1=""),1,IF('All Data'!$B88=$BA1,1,0))</f>
        <v>1</v>
      </c>
      <c r="B88">
        <f>IF(OR($BA2="Any",$BA2=""),1,IF('All Data'!$C88=$BA2,1,0))</f>
        <v>1</v>
      </c>
      <c r="C88">
        <f>IF(OR($BA3="Any",$BA3=""),1,IF('All Data'!$D88=$BA3,1,0))</f>
        <v>1</v>
      </c>
      <c r="D88">
        <f>IF(OR($BA4="Any",$BA4=""),1,IF('All Data'!$E88=$BA4,1,0))</f>
        <v>1</v>
      </c>
      <c r="E88">
        <f>IF(OR($BA5="Any",$BA5=""),1,IF('All Data'!$F88=$BA5,1,0))</f>
        <v>1</v>
      </c>
      <c r="F88">
        <f>IF(OR($BA6="Any",$BA6=""),1,IF('All Data'!$G88=$BA6,1,0))</f>
        <v>0</v>
      </c>
      <c r="G88">
        <f>IF(AND(OR($BA$8="",ISNUMBER(SEARCH($BA$8,'All Data'!$K88&amp;" "&amp;'All Data'!$M88))),OR($BA$9="",ISNUMBER(SEARCH($BA$9,'All Data'!$K88&amp;" "&amp;'All Data'!$M88))),OR($BA$10="",ISNUMBER(SEARCH($BA$10,'All Data'!$K88&amp;" "&amp;'All Data'!$M88))),OR($BA$11="",ISNUMBER(SEARCH($BA$11,'All Data'!$K88&amp;" "&amp;'All Data'!$M88))),OR($BA$12="",ISNUMBER(SEARCH($BA$12,'All Data'!$K88&amp;" "&amp;'All Data'!$M88))),OR($BA$13="",ISNUMBER(SEARCH($BA$13,'All Data'!$K88&amp;" "&amp;'All Data'!$M88))),OR($BA$14="",ISNUMBER(SEARCH($BA$14,'All Data'!$K88&amp;" "&amp;'All Data'!$M88))),OR($BA$15="",ISNUMBER(SEARCH($BA$15,'All Data'!$K88&amp;" "&amp;'All Data'!$M88)))),1,0)</f>
        <v>1</v>
      </c>
      <c r="H88">
        <f t="shared" si="6"/>
        <v>1</v>
      </c>
      <c r="I88">
        <f>IF(AND($H88=1,'All Data'!$C88&lt;&gt;"",COUNTIFS($H$2:H87,1,'All Data'!$C$2:$C87,'All Data'!$C88)=0),1,0)</f>
        <v>0</v>
      </c>
      <c r="J88" t="str">
        <f>IF($I88=1,SUM($I$2:I88),"")</f>
        <v/>
      </c>
      <c r="K88">
        <f t="shared" si="7"/>
        <v>1</v>
      </c>
      <c r="L88">
        <f>IF(AND($K88=1,'All Data'!$D88&lt;&gt;"",COUNTIFS($K$2:K87,1,'All Data'!$D$2:$D87,'All Data'!$D88)=0),1,0)</f>
        <v>0</v>
      </c>
      <c r="M88" t="str">
        <f>IF($L88=1,SUM($L$2:L88),"")</f>
        <v/>
      </c>
      <c r="N88">
        <f t="shared" si="8"/>
        <v>1</v>
      </c>
      <c r="O88">
        <f>IF(AND($N88=1,'All Data'!$E88&lt;&gt;"",COUNTIFS($N$2:N87,1,'All Data'!$E$2:$E87,'All Data'!$E88)=0),1,0)</f>
        <v>0</v>
      </c>
      <c r="P88" t="str">
        <f>IF($O88=1,SUM($O$2:O88),"")</f>
        <v/>
      </c>
      <c r="Q88">
        <f t="shared" si="9"/>
        <v>1</v>
      </c>
      <c r="R88">
        <f>IF(AND($Q88=1,'All Data'!$F88&lt;&gt;"",COUNTIFS($Q$2:Q87,1,'All Data'!$F$2:$F87,'All Data'!$F88)=0),1,0)</f>
        <v>0</v>
      </c>
      <c r="S88" t="str">
        <f>IF($R88=1,SUM($R$2:R88),"")</f>
        <v/>
      </c>
      <c r="T88">
        <f t="shared" si="10"/>
        <v>1</v>
      </c>
      <c r="U88">
        <f>IF(AND($T88=1,'All Data'!$G88&lt;&gt;"",COUNTIFS($T$2:T87,1,'All Data'!$G$2:$G87,'All Data'!$G88)=0),1,0)</f>
        <v>0</v>
      </c>
      <c r="V88" t="str">
        <f>IF($U88=1,SUM($U$2:U88),"")</f>
        <v/>
      </c>
      <c r="W88">
        <f t="shared" si="11"/>
        <v>0</v>
      </c>
      <c r="X88" t="str">
        <f>IF($W88=1,SUM($W$2:W88),"")</f>
        <v/>
      </c>
      <c r="Z88" t="str">
        <f>IFERROR(INDEX('All Data'!$C$2:$C$419,MATCH(86,$J$2:$J$419,0))&amp;"","")</f>
        <v/>
      </c>
      <c r="AB88" t="str">
        <f>IFERROR(INDEX('All Data'!$D$2:$D$419,MATCH(86,$M$2:$M$419,0))&amp;"","")</f>
        <v/>
      </c>
      <c r="AD88" t="str">
        <f>IFERROR(INDEX('All Data'!$E$2:$E$419,MATCH(86,$P$2:$P$419,0))&amp;"","")</f>
        <v/>
      </c>
      <c r="AF88" t="str">
        <f>IFERROR(INDEX('All Data'!$F$2:$F$419,MATCH(86,$S$2:$S$419,0))&amp;"","")</f>
        <v/>
      </c>
      <c r="AH88" t="str">
        <f>IFERROR(INDEX('All Data'!$G$2:$G$419,MATCH(86,$V$2:$V$419,0))&amp;"","")</f>
        <v/>
      </c>
    </row>
    <row r="89" spans="1:34" x14ac:dyDescent="0.3">
      <c r="A89">
        <f>IF(OR($BA1="Any",$BA1=""),1,IF('All Data'!$B89=$BA1,1,0))</f>
        <v>1</v>
      </c>
      <c r="B89">
        <f>IF(OR($BA2="Any",$BA2=""),1,IF('All Data'!$C89=$BA2,1,0))</f>
        <v>1</v>
      </c>
      <c r="C89">
        <f>IF(OR($BA3="Any",$BA3=""),1,IF('All Data'!$D89=$BA3,1,0))</f>
        <v>1</v>
      </c>
      <c r="D89">
        <f>IF(OR($BA4="Any",$BA4=""),1,IF('All Data'!$E89=$BA4,1,0))</f>
        <v>1</v>
      </c>
      <c r="E89">
        <f>IF(OR($BA5="Any",$BA5=""),1,IF('All Data'!$F89=$BA5,1,0))</f>
        <v>1</v>
      </c>
      <c r="F89">
        <f>IF(OR($BA6="Any",$BA6=""),1,IF('All Data'!$G89=$BA6,1,0))</f>
        <v>0</v>
      </c>
      <c r="G89">
        <f>IF(AND(OR($BA$8="",ISNUMBER(SEARCH($BA$8,'All Data'!$K89&amp;" "&amp;'All Data'!$M89))),OR($BA$9="",ISNUMBER(SEARCH($BA$9,'All Data'!$K89&amp;" "&amp;'All Data'!$M89))),OR($BA$10="",ISNUMBER(SEARCH($BA$10,'All Data'!$K89&amp;" "&amp;'All Data'!$M89))),OR($BA$11="",ISNUMBER(SEARCH($BA$11,'All Data'!$K89&amp;" "&amp;'All Data'!$M89))),OR($BA$12="",ISNUMBER(SEARCH($BA$12,'All Data'!$K89&amp;" "&amp;'All Data'!$M89))),OR($BA$13="",ISNUMBER(SEARCH($BA$13,'All Data'!$K89&amp;" "&amp;'All Data'!$M89))),OR($BA$14="",ISNUMBER(SEARCH($BA$14,'All Data'!$K89&amp;" "&amp;'All Data'!$M89))),OR($BA$15="",ISNUMBER(SEARCH($BA$15,'All Data'!$K89&amp;" "&amp;'All Data'!$M89)))),1,0)</f>
        <v>1</v>
      </c>
      <c r="H89">
        <f t="shared" si="6"/>
        <v>1</v>
      </c>
      <c r="I89">
        <f>IF(AND($H89=1,'All Data'!$C89&lt;&gt;"",COUNTIFS($H$2:H88,1,'All Data'!$C$2:$C88,'All Data'!$C89)=0),1,0)</f>
        <v>0</v>
      </c>
      <c r="J89" t="str">
        <f>IF($I89=1,SUM($I$2:I89),"")</f>
        <v/>
      </c>
      <c r="K89">
        <f t="shared" si="7"/>
        <v>1</v>
      </c>
      <c r="L89">
        <f>IF(AND($K89=1,'All Data'!$D89&lt;&gt;"",COUNTIFS($K$2:K88,1,'All Data'!$D$2:$D88,'All Data'!$D89)=0),1,0)</f>
        <v>0</v>
      </c>
      <c r="M89" t="str">
        <f>IF($L89=1,SUM($L$2:L89),"")</f>
        <v/>
      </c>
      <c r="N89">
        <f t="shared" si="8"/>
        <v>1</v>
      </c>
      <c r="O89">
        <f>IF(AND($N89=1,'All Data'!$E89&lt;&gt;"",COUNTIFS($N$2:N88,1,'All Data'!$E$2:$E88,'All Data'!$E89)=0),1,0)</f>
        <v>0</v>
      </c>
      <c r="P89" t="str">
        <f>IF($O89=1,SUM($O$2:O89),"")</f>
        <v/>
      </c>
      <c r="Q89">
        <f t="shared" si="9"/>
        <v>1</v>
      </c>
      <c r="R89">
        <f>IF(AND($Q89=1,'All Data'!$F89&lt;&gt;"",COUNTIFS($Q$2:Q88,1,'All Data'!$F$2:$F88,'All Data'!$F89)=0),1,0)</f>
        <v>0</v>
      </c>
      <c r="S89" t="str">
        <f>IF($R89=1,SUM($R$2:R89),"")</f>
        <v/>
      </c>
      <c r="T89">
        <f t="shared" si="10"/>
        <v>1</v>
      </c>
      <c r="U89">
        <f>IF(AND($T89=1,'All Data'!$G89&lt;&gt;"",COUNTIFS($T$2:T88,1,'All Data'!$G$2:$G88,'All Data'!$G89)=0),1,0)</f>
        <v>0</v>
      </c>
      <c r="V89" t="str">
        <f>IF($U89=1,SUM($U$2:U89),"")</f>
        <v/>
      </c>
      <c r="W89">
        <f t="shared" si="11"/>
        <v>0</v>
      </c>
      <c r="X89" t="str">
        <f>IF($W89=1,SUM($W$2:W89),"")</f>
        <v/>
      </c>
      <c r="Z89" t="str">
        <f>IFERROR(INDEX('All Data'!$C$2:$C$419,MATCH(87,$J$2:$J$419,0))&amp;"","")</f>
        <v/>
      </c>
      <c r="AB89" t="str">
        <f>IFERROR(INDEX('All Data'!$D$2:$D$419,MATCH(87,$M$2:$M$419,0))&amp;"","")</f>
        <v/>
      </c>
      <c r="AD89" t="str">
        <f>IFERROR(INDEX('All Data'!$E$2:$E$419,MATCH(87,$P$2:$P$419,0))&amp;"","")</f>
        <v/>
      </c>
      <c r="AF89" t="str">
        <f>IFERROR(INDEX('All Data'!$F$2:$F$419,MATCH(87,$S$2:$S$419,0))&amp;"","")</f>
        <v/>
      </c>
      <c r="AH89" t="str">
        <f>IFERROR(INDEX('All Data'!$G$2:$G$419,MATCH(87,$V$2:$V$419,0))&amp;"","")</f>
        <v/>
      </c>
    </row>
    <row r="90" spans="1:34" x14ac:dyDescent="0.3">
      <c r="A90">
        <f>IF(OR($BA1="Any",$BA1=""),1,IF('All Data'!$B90=$BA1,1,0))</f>
        <v>1</v>
      </c>
      <c r="B90">
        <f>IF(OR($BA2="Any",$BA2=""),1,IF('All Data'!$C90=$BA2,1,0))</f>
        <v>1</v>
      </c>
      <c r="C90">
        <f>IF(OR($BA3="Any",$BA3=""),1,IF('All Data'!$D90=$BA3,1,0))</f>
        <v>1</v>
      </c>
      <c r="D90">
        <f>IF(OR($BA4="Any",$BA4=""),1,IF('All Data'!$E90=$BA4,1,0))</f>
        <v>1</v>
      </c>
      <c r="E90">
        <f>IF(OR($BA5="Any",$BA5=""),1,IF('All Data'!$F90=$BA5,1,0))</f>
        <v>1</v>
      </c>
      <c r="F90">
        <f>IF(OR($BA6="Any",$BA6=""),1,IF('All Data'!$G90=$BA6,1,0))</f>
        <v>0</v>
      </c>
      <c r="G90">
        <f>IF(AND(OR($BA$8="",ISNUMBER(SEARCH($BA$8,'All Data'!$K90&amp;" "&amp;'All Data'!$M90))),OR($BA$9="",ISNUMBER(SEARCH($BA$9,'All Data'!$K90&amp;" "&amp;'All Data'!$M90))),OR($BA$10="",ISNUMBER(SEARCH($BA$10,'All Data'!$K90&amp;" "&amp;'All Data'!$M90))),OR($BA$11="",ISNUMBER(SEARCH($BA$11,'All Data'!$K90&amp;" "&amp;'All Data'!$M90))),OR($BA$12="",ISNUMBER(SEARCH($BA$12,'All Data'!$K90&amp;" "&amp;'All Data'!$M90))),OR($BA$13="",ISNUMBER(SEARCH($BA$13,'All Data'!$K90&amp;" "&amp;'All Data'!$M90))),OR($BA$14="",ISNUMBER(SEARCH($BA$14,'All Data'!$K90&amp;" "&amp;'All Data'!$M90))),OR($BA$15="",ISNUMBER(SEARCH($BA$15,'All Data'!$K90&amp;" "&amp;'All Data'!$M90)))),1,0)</f>
        <v>1</v>
      </c>
      <c r="H90">
        <f t="shared" si="6"/>
        <v>1</v>
      </c>
      <c r="I90">
        <f>IF(AND($H90=1,'All Data'!$C90&lt;&gt;"",COUNTIFS($H$2:H89,1,'All Data'!$C$2:$C89,'All Data'!$C90)=0),1,0)</f>
        <v>0</v>
      </c>
      <c r="J90" t="str">
        <f>IF($I90=1,SUM($I$2:I90),"")</f>
        <v/>
      </c>
      <c r="K90">
        <f t="shared" si="7"/>
        <v>1</v>
      </c>
      <c r="L90">
        <f>IF(AND($K90=1,'All Data'!$D90&lt;&gt;"",COUNTIFS($K$2:K89,1,'All Data'!$D$2:$D89,'All Data'!$D90)=0),1,0)</f>
        <v>0</v>
      </c>
      <c r="M90" t="str">
        <f>IF($L90=1,SUM($L$2:L90),"")</f>
        <v/>
      </c>
      <c r="N90">
        <f t="shared" si="8"/>
        <v>1</v>
      </c>
      <c r="O90">
        <f>IF(AND($N90=1,'All Data'!$E90&lt;&gt;"",COUNTIFS($N$2:N89,1,'All Data'!$E$2:$E89,'All Data'!$E90)=0),1,0)</f>
        <v>0</v>
      </c>
      <c r="P90" t="str">
        <f>IF($O90=1,SUM($O$2:O90),"")</f>
        <v/>
      </c>
      <c r="Q90">
        <f t="shared" si="9"/>
        <v>1</v>
      </c>
      <c r="R90">
        <f>IF(AND($Q90=1,'All Data'!$F90&lt;&gt;"",COUNTIFS($Q$2:Q89,1,'All Data'!$F$2:$F89,'All Data'!$F90)=0),1,0)</f>
        <v>0</v>
      </c>
      <c r="S90" t="str">
        <f>IF($R90=1,SUM($R$2:R90),"")</f>
        <v/>
      </c>
      <c r="T90">
        <f t="shared" si="10"/>
        <v>1</v>
      </c>
      <c r="U90">
        <f>IF(AND($T90=1,'All Data'!$G90&lt;&gt;"",COUNTIFS($T$2:T89,1,'All Data'!$G$2:$G89,'All Data'!$G90)=0),1,0)</f>
        <v>0</v>
      </c>
      <c r="V90" t="str">
        <f>IF($U90=1,SUM($U$2:U90),"")</f>
        <v/>
      </c>
      <c r="W90">
        <f t="shared" si="11"/>
        <v>0</v>
      </c>
      <c r="X90" t="str">
        <f>IF($W90=1,SUM($W$2:W90),"")</f>
        <v/>
      </c>
      <c r="Z90" t="str">
        <f>IFERROR(INDEX('All Data'!$C$2:$C$419,MATCH(88,$J$2:$J$419,0))&amp;"","")</f>
        <v/>
      </c>
      <c r="AB90" t="str">
        <f>IFERROR(INDEX('All Data'!$D$2:$D$419,MATCH(88,$M$2:$M$419,0))&amp;"","")</f>
        <v/>
      </c>
      <c r="AD90" t="str">
        <f>IFERROR(INDEX('All Data'!$E$2:$E$419,MATCH(88,$P$2:$P$419,0))&amp;"","")</f>
        <v/>
      </c>
      <c r="AF90" t="str">
        <f>IFERROR(INDEX('All Data'!$F$2:$F$419,MATCH(88,$S$2:$S$419,0))&amp;"","")</f>
        <v/>
      </c>
      <c r="AH90" t="str">
        <f>IFERROR(INDEX('All Data'!$G$2:$G$419,MATCH(88,$V$2:$V$419,0))&amp;"","")</f>
        <v/>
      </c>
    </row>
    <row r="91" spans="1:34" x14ac:dyDescent="0.3">
      <c r="A91">
        <f>IF(OR($BA1="Any",$BA1=""),1,IF('All Data'!$B91=$BA1,1,0))</f>
        <v>1</v>
      </c>
      <c r="B91">
        <f>IF(OR($BA2="Any",$BA2=""),1,IF('All Data'!$C91=$BA2,1,0))</f>
        <v>1</v>
      </c>
      <c r="C91">
        <f>IF(OR($BA3="Any",$BA3=""),1,IF('All Data'!$D91=$BA3,1,0))</f>
        <v>1</v>
      </c>
      <c r="D91">
        <f>IF(OR($BA4="Any",$BA4=""),1,IF('All Data'!$E91=$BA4,1,0))</f>
        <v>1</v>
      </c>
      <c r="E91">
        <f>IF(OR($BA5="Any",$BA5=""),1,IF('All Data'!$F91=$BA5,1,0))</f>
        <v>1</v>
      </c>
      <c r="F91">
        <f>IF(OR($BA6="Any",$BA6=""),1,IF('All Data'!$G91=$BA6,1,0))</f>
        <v>0</v>
      </c>
      <c r="G91">
        <f>IF(AND(OR($BA$8="",ISNUMBER(SEARCH($BA$8,'All Data'!$K91&amp;" "&amp;'All Data'!$M91))),OR($BA$9="",ISNUMBER(SEARCH($BA$9,'All Data'!$K91&amp;" "&amp;'All Data'!$M91))),OR($BA$10="",ISNUMBER(SEARCH($BA$10,'All Data'!$K91&amp;" "&amp;'All Data'!$M91))),OR($BA$11="",ISNUMBER(SEARCH($BA$11,'All Data'!$K91&amp;" "&amp;'All Data'!$M91))),OR($BA$12="",ISNUMBER(SEARCH($BA$12,'All Data'!$K91&amp;" "&amp;'All Data'!$M91))),OR($BA$13="",ISNUMBER(SEARCH($BA$13,'All Data'!$K91&amp;" "&amp;'All Data'!$M91))),OR($BA$14="",ISNUMBER(SEARCH($BA$14,'All Data'!$K91&amp;" "&amp;'All Data'!$M91))),OR($BA$15="",ISNUMBER(SEARCH($BA$15,'All Data'!$K91&amp;" "&amp;'All Data'!$M91)))),1,0)</f>
        <v>1</v>
      </c>
      <c r="H91">
        <f t="shared" si="6"/>
        <v>1</v>
      </c>
      <c r="I91">
        <f>IF(AND($H91=1,'All Data'!$C91&lt;&gt;"",COUNTIFS($H$2:H90,1,'All Data'!$C$2:$C90,'All Data'!$C91)=0),1,0)</f>
        <v>0</v>
      </c>
      <c r="J91" t="str">
        <f>IF($I91=1,SUM($I$2:I91),"")</f>
        <v/>
      </c>
      <c r="K91">
        <f t="shared" si="7"/>
        <v>1</v>
      </c>
      <c r="L91">
        <f>IF(AND($K91=1,'All Data'!$D91&lt;&gt;"",COUNTIFS($K$2:K90,1,'All Data'!$D$2:$D90,'All Data'!$D91)=0),1,0)</f>
        <v>0</v>
      </c>
      <c r="M91" t="str">
        <f>IF($L91=1,SUM($L$2:L91),"")</f>
        <v/>
      </c>
      <c r="N91">
        <f t="shared" si="8"/>
        <v>1</v>
      </c>
      <c r="O91">
        <f>IF(AND($N91=1,'All Data'!$E91&lt;&gt;"",COUNTIFS($N$2:N90,1,'All Data'!$E$2:$E90,'All Data'!$E91)=0),1,0)</f>
        <v>0</v>
      </c>
      <c r="P91" t="str">
        <f>IF($O91=1,SUM($O$2:O91),"")</f>
        <v/>
      </c>
      <c r="Q91">
        <f t="shared" si="9"/>
        <v>1</v>
      </c>
      <c r="R91">
        <f>IF(AND($Q91=1,'All Data'!$F91&lt;&gt;"",COUNTIFS($Q$2:Q90,1,'All Data'!$F$2:$F90,'All Data'!$F91)=0),1,0)</f>
        <v>0</v>
      </c>
      <c r="S91" t="str">
        <f>IF($R91=1,SUM($R$2:R91),"")</f>
        <v/>
      </c>
      <c r="T91">
        <f t="shared" si="10"/>
        <v>1</v>
      </c>
      <c r="U91">
        <f>IF(AND($T91=1,'All Data'!$G91&lt;&gt;"",COUNTIFS($T$2:T90,1,'All Data'!$G$2:$G90,'All Data'!$G91)=0),1,0)</f>
        <v>0</v>
      </c>
      <c r="V91" t="str">
        <f>IF($U91=1,SUM($U$2:U91),"")</f>
        <v/>
      </c>
      <c r="W91">
        <f t="shared" si="11"/>
        <v>0</v>
      </c>
      <c r="X91" t="str">
        <f>IF($W91=1,SUM($W$2:W91),"")</f>
        <v/>
      </c>
      <c r="Z91" t="str">
        <f>IFERROR(INDEX('All Data'!$C$2:$C$419,MATCH(89,$J$2:$J$419,0))&amp;"","")</f>
        <v/>
      </c>
      <c r="AB91" t="str">
        <f>IFERROR(INDEX('All Data'!$D$2:$D$419,MATCH(89,$M$2:$M$419,0))&amp;"","")</f>
        <v/>
      </c>
      <c r="AD91" t="str">
        <f>IFERROR(INDEX('All Data'!$E$2:$E$419,MATCH(89,$P$2:$P$419,0))&amp;"","")</f>
        <v/>
      </c>
      <c r="AF91" t="str">
        <f>IFERROR(INDEX('All Data'!$F$2:$F$419,MATCH(89,$S$2:$S$419,0))&amp;"","")</f>
        <v/>
      </c>
      <c r="AH91" t="str">
        <f>IFERROR(INDEX('All Data'!$G$2:$G$419,MATCH(89,$V$2:$V$419,0))&amp;"","")</f>
        <v/>
      </c>
    </row>
    <row r="92" spans="1:34" x14ac:dyDescent="0.3">
      <c r="A92">
        <f>IF(OR($BA1="Any",$BA1=""),1,IF('All Data'!$B92=$BA1,1,0))</f>
        <v>1</v>
      </c>
      <c r="B92">
        <f>IF(OR($BA2="Any",$BA2=""),1,IF('All Data'!$C92=$BA2,1,0))</f>
        <v>1</v>
      </c>
      <c r="C92">
        <f>IF(OR($BA3="Any",$BA3=""),1,IF('All Data'!$D92=$BA3,1,0))</f>
        <v>1</v>
      </c>
      <c r="D92">
        <f>IF(OR($BA4="Any",$BA4=""),1,IF('All Data'!$E92=$BA4,1,0))</f>
        <v>1</v>
      </c>
      <c r="E92">
        <f>IF(OR($BA5="Any",$BA5=""),1,IF('All Data'!$F92=$BA5,1,0))</f>
        <v>1</v>
      </c>
      <c r="F92">
        <f>IF(OR($BA6="Any",$BA6=""),1,IF('All Data'!$G92=$BA6,1,0))</f>
        <v>0</v>
      </c>
      <c r="G92">
        <f>IF(AND(OR($BA$8="",ISNUMBER(SEARCH($BA$8,'All Data'!$K92&amp;" "&amp;'All Data'!$M92))),OR($BA$9="",ISNUMBER(SEARCH($BA$9,'All Data'!$K92&amp;" "&amp;'All Data'!$M92))),OR($BA$10="",ISNUMBER(SEARCH($BA$10,'All Data'!$K92&amp;" "&amp;'All Data'!$M92))),OR($BA$11="",ISNUMBER(SEARCH($BA$11,'All Data'!$K92&amp;" "&amp;'All Data'!$M92))),OR($BA$12="",ISNUMBER(SEARCH($BA$12,'All Data'!$K92&amp;" "&amp;'All Data'!$M92))),OR($BA$13="",ISNUMBER(SEARCH($BA$13,'All Data'!$K92&amp;" "&amp;'All Data'!$M92))),OR($BA$14="",ISNUMBER(SEARCH($BA$14,'All Data'!$K92&amp;" "&amp;'All Data'!$M92))),OR($BA$15="",ISNUMBER(SEARCH($BA$15,'All Data'!$K92&amp;" "&amp;'All Data'!$M92)))),1,0)</f>
        <v>1</v>
      </c>
      <c r="H92">
        <f t="shared" si="6"/>
        <v>1</v>
      </c>
      <c r="I92">
        <f>IF(AND($H92=1,'All Data'!$C92&lt;&gt;"",COUNTIFS($H$2:H91,1,'All Data'!$C$2:$C91,'All Data'!$C92)=0),1,0)</f>
        <v>0</v>
      </c>
      <c r="J92" t="str">
        <f>IF($I92=1,SUM($I$2:I92),"")</f>
        <v/>
      </c>
      <c r="K92">
        <f t="shared" si="7"/>
        <v>1</v>
      </c>
      <c r="L92">
        <f>IF(AND($K92=1,'All Data'!$D92&lt;&gt;"",COUNTIFS($K$2:K91,1,'All Data'!$D$2:$D91,'All Data'!$D92)=0),1,0)</f>
        <v>0</v>
      </c>
      <c r="M92" t="str">
        <f>IF($L92=1,SUM($L$2:L92),"")</f>
        <v/>
      </c>
      <c r="N92">
        <f t="shared" si="8"/>
        <v>1</v>
      </c>
      <c r="O92">
        <f>IF(AND($N92=1,'All Data'!$E92&lt;&gt;"",COUNTIFS($N$2:N91,1,'All Data'!$E$2:$E91,'All Data'!$E92)=0),1,0)</f>
        <v>0</v>
      </c>
      <c r="P92" t="str">
        <f>IF($O92=1,SUM($O$2:O92),"")</f>
        <v/>
      </c>
      <c r="Q92">
        <f t="shared" si="9"/>
        <v>1</v>
      </c>
      <c r="R92">
        <f>IF(AND($Q92=1,'All Data'!$F92&lt;&gt;"",COUNTIFS($Q$2:Q91,1,'All Data'!$F$2:$F91,'All Data'!$F92)=0),1,0)</f>
        <v>0</v>
      </c>
      <c r="S92" t="str">
        <f>IF($R92=1,SUM($R$2:R92),"")</f>
        <v/>
      </c>
      <c r="T92">
        <f t="shared" si="10"/>
        <v>1</v>
      </c>
      <c r="U92">
        <f>IF(AND($T92=1,'All Data'!$G92&lt;&gt;"",COUNTIFS($T$2:T91,1,'All Data'!$G$2:$G91,'All Data'!$G92)=0),1,0)</f>
        <v>0</v>
      </c>
      <c r="V92" t="str">
        <f>IF($U92=1,SUM($U$2:U92),"")</f>
        <v/>
      </c>
      <c r="W92">
        <f t="shared" si="11"/>
        <v>0</v>
      </c>
      <c r="X92" t="str">
        <f>IF($W92=1,SUM($W$2:W92),"")</f>
        <v/>
      </c>
      <c r="Z92" t="str">
        <f>IFERROR(INDEX('All Data'!$C$2:$C$419,MATCH(90,$J$2:$J$419,0))&amp;"","")</f>
        <v/>
      </c>
      <c r="AB92" t="str">
        <f>IFERROR(INDEX('All Data'!$D$2:$D$419,MATCH(90,$M$2:$M$419,0))&amp;"","")</f>
        <v/>
      </c>
      <c r="AD92" t="str">
        <f>IFERROR(INDEX('All Data'!$E$2:$E$419,MATCH(90,$P$2:$P$419,0))&amp;"","")</f>
        <v/>
      </c>
      <c r="AF92" t="str">
        <f>IFERROR(INDEX('All Data'!$F$2:$F$419,MATCH(90,$S$2:$S$419,0))&amp;"","")</f>
        <v/>
      </c>
      <c r="AH92" t="str">
        <f>IFERROR(INDEX('All Data'!$G$2:$G$419,MATCH(90,$V$2:$V$419,0))&amp;"","")</f>
        <v/>
      </c>
    </row>
    <row r="93" spans="1:34" x14ac:dyDescent="0.3">
      <c r="A93">
        <f>IF(OR($BA1="Any",$BA1=""),1,IF('All Data'!$B93=$BA1,1,0))</f>
        <v>1</v>
      </c>
      <c r="B93">
        <f>IF(OR($BA2="Any",$BA2=""),1,IF('All Data'!$C93=$BA2,1,0))</f>
        <v>1</v>
      </c>
      <c r="C93">
        <f>IF(OR($BA3="Any",$BA3=""),1,IF('All Data'!$D93=$BA3,1,0))</f>
        <v>1</v>
      </c>
      <c r="D93">
        <f>IF(OR($BA4="Any",$BA4=""),1,IF('All Data'!$E93=$BA4,1,0))</f>
        <v>1</v>
      </c>
      <c r="E93">
        <f>IF(OR($BA5="Any",$BA5=""),1,IF('All Data'!$F93=$BA5,1,0))</f>
        <v>1</v>
      </c>
      <c r="F93">
        <f>IF(OR($BA6="Any",$BA6=""),1,IF('All Data'!$G93=$BA6,1,0))</f>
        <v>0</v>
      </c>
      <c r="G93">
        <f>IF(AND(OR($BA$8="",ISNUMBER(SEARCH($BA$8,'All Data'!$K93&amp;" "&amp;'All Data'!$M93))),OR($BA$9="",ISNUMBER(SEARCH($BA$9,'All Data'!$K93&amp;" "&amp;'All Data'!$M93))),OR($BA$10="",ISNUMBER(SEARCH($BA$10,'All Data'!$K93&amp;" "&amp;'All Data'!$M93))),OR($BA$11="",ISNUMBER(SEARCH($BA$11,'All Data'!$K93&amp;" "&amp;'All Data'!$M93))),OR($BA$12="",ISNUMBER(SEARCH($BA$12,'All Data'!$K93&amp;" "&amp;'All Data'!$M93))),OR($BA$13="",ISNUMBER(SEARCH($BA$13,'All Data'!$K93&amp;" "&amp;'All Data'!$M93))),OR($BA$14="",ISNUMBER(SEARCH($BA$14,'All Data'!$K93&amp;" "&amp;'All Data'!$M93))),OR($BA$15="",ISNUMBER(SEARCH($BA$15,'All Data'!$K93&amp;" "&amp;'All Data'!$M93)))),1,0)</f>
        <v>1</v>
      </c>
      <c r="H93">
        <f t="shared" si="6"/>
        <v>1</v>
      </c>
      <c r="I93">
        <f>IF(AND($H93=1,'All Data'!$C93&lt;&gt;"",COUNTIFS($H$2:H92,1,'All Data'!$C$2:$C92,'All Data'!$C93)=0),1,0)</f>
        <v>0</v>
      </c>
      <c r="J93" t="str">
        <f>IF($I93=1,SUM($I$2:I93),"")</f>
        <v/>
      </c>
      <c r="K93">
        <f t="shared" si="7"/>
        <v>1</v>
      </c>
      <c r="L93">
        <f>IF(AND($K93=1,'All Data'!$D93&lt;&gt;"",COUNTIFS($K$2:K92,1,'All Data'!$D$2:$D92,'All Data'!$D93)=0),1,0)</f>
        <v>0</v>
      </c>
      <c r="M93" t="str">
        <f>IF($L93=1,SUM($L$2:L93),"")</f>
        <v/>
      </c>
      <c r="N93">
        <f t="shared" si="8"/>
        <v>1</v>
      </c>
      <c r="O93">
        <f>IF(AND($N93=1,'All Data'!$E93&lt;&gt;"",COUNTIFS($N$2:N92,1,'All Data'!$E$2:$E92,'All Data'!$E93)=0),1,0)</f>
        <v>0</v>
      </c>
      <c r="P93" t="str">
        <f>IF($O93=1,SUM($O$2:O93),"")</f>
        <v/>
      </c>
      <c r="Q93">
        <f t="shared" si="9"/>
        <v>1</v>
      </c>
      <c r="R93">
        <f>IF(AND($Q93=1,'All Data'!$F93&lt;&gt;"",COUNTIFS($Q$2:Q92,1,'All Data'!$F$2:$F92,'All Data'!$F93)=0),1,0)</f>
        <v>0</v>
      </c>
      <c r="S93" t="str">
        <f>IF($R93=1,SUM($R$2:R93),"")</f>
        <v/>
      </c>
      <c r="T93">
        <f t="shared" si="10"/>
        <v>1</v>
      </c>
      <c r="U93">
        <f>IF(AND($T93=1,'All Data'!$G93&lt;&gt;"",COUNTIFS($T$2:T92,1,'All Data'!$G$2:$G92,'All Data'!$G93)=0),1,0)</f>
        <v>0</v>
      </c>
      <c r="V93" t="str">
        <f>IF($U93=1,SUM($U$2:U93),"")</f>
        <v/>
      </c>
      <c r="W93">
        <f t="shared" si="11"/>
        <v>0</v>
      </c>
      <c r="X93" t="str">
        <f>IF($W93=1,SUM($W$2:W93),"")</f>
        <v/>
      </c>
      <c r="Z93" t="str">
        <f>IFERROR(INDEX('All Data'!$C$2:$C$419,MATCH(91,$J$2:$J$419,0))&amp;"","")</f>
        <v/>
      </c>
      <c r="AB93" t="str">
        <f>IFERROR(INDEX('All Data'!$D$2:$D$419,MATCH(91,$M$2:$M$419,0))&amp;"","")</f>
        <v/>
      </c>
      <c r="AD93" t="str">
        <f>IFERROR(INDEX('All Data'!$E$2:$E$419,MATCH(91,$P$2:$P$419,0))&amp;"","")</f>
        <v/>
      </c>
      <c r="AF93" t="str">
        <f>IFERROR(INDEX('All Data'!$F$2:$F$419,MATCH(91,$S$2:$S$419,0))&amp;"","")</f>
        <v/>
      </c>
      <c r="AH93" t="str">
        <f>IFERROR(INDEX('All Data'!$G$2:$G$419,MATCH(91,$V$2:$V$419,0))&amp;"","")</f>
        <v/>
      </c>
    </row>
    <row r="94" spans="1:34" x14ac:dyDescent="0.3">
      <c r="A94">
        <f>IF(OR($BA1="Any",$BA1=""),1,IF('All Data'!$B94=$BA1,1,0))</f>
        <v>1</v>
      </c>
      <c r="B94">
        <f>IF(OR($BA2="Any",$BA2=""),1,IF('All Data'!$C94=$BA2,1,0))</f>
        <v>1</v>
      </c>
      <c r="C94">
        <f>IF(OR($BA3="Any",$BA3=""),1,IF('All Data'!$D94=$BA3,1,0))</f>
        <v>1</v>
      </c>
      <c r="D94">
        <f>IF(OR($BA4="Any",$BA4=""),1,IF('All Data'!$E94=$BA4,1,0))</f>
        <v>1</v>
      </c>
      <c r="E94">
        <f>IF(OR($BA5="Any",$BA5=""),1,IF('All Data'!$F94=$BA5,1,0))</f>
        <v>1</v>
      </c>
      <c r="F94">
        <f>IF(OR($BA6="Any",$BA6=""),1,IF('All Data'!$G94=$BA6,1,0))</f>
        <v>0</v>
      </c>
      <c r="G94">
        <f>IF(AND(OR($BA$8="",ISNUMBER(SEARCH($BA$8,'All Data'!$K94&amp;" "&amp;'All Data'!$M94))),OR($BA$9="",ISNUMBER(SEARCH($BA$9,'All Data'!$K94&amp;" "&amp;'All Data'!$M94))),OR($BA$10="",ISNUMBER(SEARCH($BA$10,'All Data'!$K94&amp;" "&amp;'All Data'!$M94))),OR($BA$11="",ISNUMBER(SEARCH($BA$11,'All Data'!$K94&amp;" "&amp;'All Data'!$M94))),OR($BA$12="",ISNUMBER(SEARCH($BA$12,'All Data'!$K94&amp;" "&amp;'All Data'!$M94))),OR($BA$13="",ISNUMBER(SEARCH($BA$13,'All Data'!$K94&amp;" "&amp;'All Data'!$M94))),OR($BA$14="",ISNUMBER(SEARCH($BA$14,'All Data'!$K94&amp;" "&amp;'All Data'!$M94))),OR($BA$15="",ISNUMBER(SEARCH($BA$15,'All Data'!$K94&amp;" "&amp;'All Data'!$M94)))),1,0)</f>
        <v>1</v>
      </c>
      <c r="H94">
        <f t="shared" si="6"/>
        <v>1</v>
      </c>
      <c r="I94">
        <f>IF(AND($H94=1,'All Data'!$C94&lt;&gt;"",COUNTIFS($H$2:H93,1,'All Data'!$C$2:$C93,'All Data'!$C94)=0),1,0)</f>
        <v>0</v>
      </c>
      <c r="J94" t="str">
        <f>IF($I94=1,SUM($I$2:I94),"")</f>
        <v/>
      </c>
      <c r="K94">
        <f t="shared" si="7"/>
        <v>1</v>
      </c>
      <c r="L94">
        <f>IF(AND($K94=1,'All Data'!$D94&lt;&gt;"",COUNTIFS($K$2:K93,1,'All Data'!$D$2:$D93,'All Data'!$D94)=0),1,0)</f>
        <v>0</v>
      </c>
      <c r="M94" t="str">
        <f>IF($L94=1,SUM($L$2:L94),"")</f>
        <v/>
      </c>
      <c r="N94">
        <f t="shared" si="8"/>
        <v>1</v>
      </c>
      <c r="O94">
        <f>IF(AND($N94=1,'All Data'!$E94&lt;&gt;"",COUNTIFS($N$2:N93,1,'All Data'!$E$2:$E93,'All Data'!$E94)=0),1,0)</f>
        <v>0</v>
      </c>
      <c r="P94" t="str">
        <f>IF($O94=1,SUM($O$2:O94),"")</f>
        <v/>
      </c>
      <c r="Q94">
        <f t="shared" si="9"/>
        <v>1</v>
      </c>
      <c r="R94">
        <f>IF(AND($Q94=1,'All Data'!$F94&lt;&gt;"",COUNTIFS($Q$2:Q93,1,'All Data'!$F$2:$F93,'All Data'!$F94)=0),1,0)</f>
        <v>0</v>
      </c>
      <c r="S94" t="str">
        <f>IF($R94=1,SUM($R$2:R94),"")</f>
        <v/>
      </c>
      <c r="T94">
        <f t="shared" si="10"/>
        <v>1</v>
      </c>
      <c r="U94">
        <f>IF(AND($T94=1,'All Data'!$G94&lt;&gt;"",COUNTIFS($T$2:T93,1,'All Data'!$G$2:$G93,'All Data'!$G94)=0),1,0)</f>
        <v>0</v>
      </c>
      <c r="V94" t="str">
        <f>IF($U94=1,SUM($U$2:U94),"")</f>
        <v/>
      </c>
      <c r="W94">
        <f t="shared" si="11"/>
        <v>0</v>
      </c>
      <c r="X94" t="str">
        <f>IF($W94=1,SUM($W$2:W94),"")</f>
        <v/>
      </c>
      <c r="Z94" t="str">
        <f>IFERROR(INDEX('All Data'!$C$2:$C$419,MATCH(92,$J$2:$J$419,0))&amp;"","")</f>
        <v/>
      </c>
      <c r="AB94" t="str">
        <f>IFERROR(INDEX('All Data'!$D$2:$D$419,MATCH(92,$M$2:$M$419,0))&amp;"","")</f>
        <v/>
      </c>
      <c r="AD94" t="str">
        <f>IFERROR(INDEX('All Data'!$E$2:$E$419,MATCH(92,$P$2:$P$419,0))&amp;"","")</f>
        <v/>
      </c>
      <c r="AF94" t="str">
        <f>IFERROR(INDEX('All Data'!$F$2:$F$419,MATCH(92,$S$2:$S$419,0))&amp;"","")</f>
        <v/>
      </c>
      <c r="AH94" t="str">
        <f>IFERROR(INDEX('All Data'!$G$2:$G$419,MATCH(92,$V$2:$V$419,0))&amp;"","")</f>
        <v/>
      </c>
    </row>
    <row r="95" spans="1:34" x14ac:dyDescent="0.3">
      <c r="A95">
        <f>IF(OR($BA1="Any",$BA1=""),1,IF('All Data'!$B95=$BA1,1,0))</f>
        <v>1</v>
      </c>
      <c r="B95">
        <f>IF(OR($BA2="Any",$BA2=""),1,IF('All Data'!$C95=$BA2,1,0))</f>
        <v>1</v>
      </c>
      <c r="C95">
        <f>IF(OR($BA3="Any",$BA3=""),1,IF('All Data'!$D95=$BA3,1,0))</f>
        <v>1</v>
      </c>
      <c r="D95">
        <f>IF(OR($BA4="Any",$BA4=""),1,IF('All Data'!$E95=$BA4,1,0))</f>
        <v>1</v>
      </c>
      <c r="E95">
        <f>IF(OR($BA5="Any",$BA5=""),1,IF('All Data'!$F95=$BA5,1,0))</f>
        <v>1</v>
      </c>
      <c r="F95">
        <f>IF(OR($BA6="Any",$BA6=""),1,IF('All Data'!$G95=$BA6,1,0))</f>
        <v>0</v>
      </c>
      <c r="G95">
        <f>IF(AND(OR($BA$8="",ISNUMBER(SEARCH($BA$8,'All Data'!$K95&amp;" "&amp;'All Data'!$M95))),OR($BA$9="",ISNUMBER(SEARCH($BA$9,'All Data'!$K95&amp;" "&amp;'All Data'!$M95))),OR($BA$10="",ISNUMBER(SEARCH($BA$10,'All Data'!$K95&amp;" "&amp;'All Data'!$M95))),OR($BA$11="",ISNUMBER(SEARCH($BA$11,'All Data'!$K95&amp;" "&amp;'All Data'!$M95))),OR($BA$12="",ISNUMBER(SEARCH($BA$12,'All Data'!$K95&amp;" "&amp;'All Data'!$M95))),OR($BA$13="",ISNUMBER(SEARCH($BA$13,'All Data'!$K95&amp;" "&amp;'All Data'!$M95))),OR($BA$14="",ISNUMBER(SEARCH($BA$14,'All Data'!$K95&amp;" "&amp;'All Data'!$M95))),OR($BA$15="",ISNUMBER(SEARCH($BA$15,'All Data'!$K95&amp;" "&amp;'All Data'!$M95)))),1,0)</f>
        <v>1</v>
      </c>
      <c r="H95">
        <f t="shared" si="6"/>
        <v>1</v>
      </c>
      <c r="I95">
        <f>IF(AND($H95=1,'All Data'!$C95&lt;&gt;"",COUNTIFS($H$2:H94,1,'All Data'!$C$2:$C94,'All Data'!$C95)=0),1,0)</f>
        <v>0</v>
      </c>
      <c r="J95" t="str">
        <f>IF($I95=1,SUM($I$2:I95),"")</f>
        <v/>
      </c>
      <c r="K95">
        <f t="shared" si="7"/>
        <v>1</v>
      </c>
      <c r="L95">
        <f>IF(AND($K95=1,'All Data'!$D95&lt;&gt;"",COUNTIFS($K$2:K94,1,'All Data'!$D$2:$D94,'All Data'!$D95)=0),1,0)</f>
        <v>0</v>
      </c>
      <c r="M95" t="str">
        <f>IF($L95=1,SUM($L$2:L95),"")</f>
        <v/>
      </c>
      <c r="N95">
        <f t="shared" si="8"/>
        <v>1</v>
      </c>
      <c r="O95">
        <f>IF(AND($N95=1,'All Data'!$E95&lt;&gt;"",COUNTIFS($N$2:N94,1,'All Data'!$E$2:$E94,'All Data'!$E95)=0),1,0)</f>
        <v>0</v>
      </c>
      <c r="P95" t="str">
        <f>IF($O95=1,SUM($O$2:O95),"")</f>
        <v/>
      </c>
      <c r="Q95">
        <f t="shared" si="9"/>
        <v>1</v>
      </c>
      <c r="R95">
        <f>IF(AND($Q95=1,'All Data'!$F95&lt;&gt;"",COUNTIFS($Q$2:Q94,1,'All Data'!$F$2:$F94,'All Data'!$F95)=0),1,0)</f>
        <v>0</v>
      </c>
      <c r="S95" t="str">
        <f>IF($R95=1,SUM($R$2:R95),"")</f>
        <v/>
      </c>
      <c r="T95">
        <f t="shared" si="10"/>
        <v>1</v>
      </c>
      <c r="U95">
        <f>IF(AND($T95=1,'All Data'!$G95&lt;&gt;"",COUNTIFS($T$2:T94,1,'All Data'!$G$2:$G94,'All Data'!$G95)=0),1,0)</f>
        <v>0</v>
      </c>
      <c r="V95" t="str">
        <f>IF($U95=1,SUM($U$2:U95),"")</f>
        <v/>
      </c>
      <c r="W95">
        <f t="shared" si="11"/>
        <v>0</v>
      </c>
      <c r="X95" t="str">
        <f>IF($W95=1,SUM($W$2:W95),"")</f>
        <v/>
      </c>
      <c r="Z95" t="str">
        <f>IFERROR(INDEX('All Data'!$C$2:$C$419,MATCH(93,$J$2:$J$419,0))&amp;"","")</f>
        <v/>
      </c>
      <c r="AB95" t="str">
        <f>IFERROR(INDEX('All Data'!$D$2:$D$419,MATCH(93,$M$2:$M$419,0))&amp;"","")</f>
        <v/>
      </c>
      <c r="AD95" t="str">
        <f>IFERROR(INDEX('All Data'!$E$2:$E$419,MATCH(93,$P$2:$P$419,0))&amp;"","")</f>
        <v/>
      </c>
      <c r="AF95" t="str">
        <f>IFERROR(INDEX('All Data'!$F$2:$F$419,MATCH(93,$S$2:$S$419,0))&amp;"","")</f>
        <v/>
      </c>
      <c r="AH95" t="str">
        <f>IFERROR(INDEX('All Data'!$G$2:$G$419,MATCH(93,$V$2:$V$419,0))&amp;"","")</f>
        <v/>
      </c>
    </row>
    <row r="96" spans="1:34" x14ac:dyDescent="0.3">
      <c r="A96">
        <f>IF(OR($BA1="Any",$BA1=""),1,IF('All Data'!$B96=$BA1,1,0))</f>
        <v>1</v>
      </c>
      <c r="B96">
        <f>IF(OR($BA2="Any",$BA2=""),1,IF('All Data'!$C96=$BA2,1,0))</f>
        <v>1</v>
      </c>
      <c r="C96">
        <f>IF(OR($BA3="Any",$BA3=""),1,IF('All Data'!$D96=$BA3,1,0))</f>
        <v>1</v>
      </c>
      <c r="D96">
        <f>IF(OR($BA4="Any",$BA4=""),1,IF('All Data'!$E96=$BA4,1,0))</f>
        <v>1</v>
      </c>
      <c r="E96">
        <f>IF(OR($BA5="Any",$BA5=""),1,IF('All Data'!$F96=$BA5,1,0))</f>
        <v>1</v>
      </c>
      <c r="F96">
        <f>IF(OR($BA6="Any",$BA6=""),1,IF('All Data'!$G96=$BA6,1,0))</f>
        <v>0</v>
      </c>
      <c r="G96">
        <f>IF(AND(OR($BA$8="",ISNUMBER(SEARCH($BA$8,'All Data'!$K96&amp;" "&amp;'All Data'!$M96))),OR($BA$9="",ISNUMBER(SEARCH($BA$9,'All Data'!$K96&amp;" "&amp;'All Data'!$M96))),OR($BA$10="",ISNUMBER(SEARCH($BA$10,'All Data'!$K96&amp;" "&amp;'All Data'!$M96))),OR($BA$11="",ISNUMBER(SEARCH($BA$11,'All Data'!$K96&amp;" "&amp;'All Data'!$M96))),OR($BA$12="",ISNUMBER(SEARCH($BA$12,'All Data'!$K96&amp;" "&amp;'All Data'!$M96))),OR($BA$13="",ISNUMBER(SEARCH($BA$13,'All Data'!$K96&amp;" "&amp;'All Data'!$M96))),OR($BA$14="",ISNUMBER(SEARCH($BA$14,'All Data'!$K96&amp;" "&amp;'All Data'!$M96))),OR($BA$15="",ISNUMBER(SEARCH($BA$15,'All Data'!$K96&amp;" "&amp;'All Data'!$M96)))),1,0)</f>
        <v>1</v>
      </c>
      <c r="H96">
        <f t="shared" si="6"/>
        <v>1</v>
      </c>
      <c r="I96">
        <f>IF(AND($H96=1,'All Data'!$C96&lt;&gt;"",COUNTIFS($H$2:H95,1,'All Data'!$C$2:$C95,'All Data'!$C96)=0),1,0)</f>
        <v>0</v>
      </c>
      <c r="J96" t="str">
        <f>IF($I96=1,SUM($I$2:I96),"")</f>
        <v/>
      </c>
      <c r="K96">
        <f t="shared" si="7"/>
        <v>1</v>
      </c>
      <c r="L96">
        <f>IF(AND($K96=1,'All Data'!$D96&lt;&gt;"",COUNTIFS($K$2:K95,1,'All Data'!$D$2:$D95,'All Data'!$D96)=0),1,0)</f>
        <v>0</v>
      </c>
      <c r="M96" t="str">
        <f>IF($L96=1,SUM($L$2:L96),"")</f>
        <v/>
      </c>
      <c r="N96">
        <f t="shared" si="8"/>
        <v>1</v>
      </c>
      <c r="O96">
        <f>IF(AND($N96=1,'All Data'!$E96&lt;&gt;"",COUNTIFS($N$2:N95,1,'All Data'!$E$2:$E95,'All Data'!$E96)=0),1,0)</f>
        <v>0</v>
      </c>
      <c r="P96" t="str">
        <f>IF($O96=1,SUM($O$2:O96),"")</f>
        <v/>
      </c>
      <c r="Q96">
        <f t="shared" si="9"/>
        <v>1</v>
      </c>
      <c r="R96">
        <f>IF(AND($Q96=1,'All Data'!$F96&lt;&gt;"",COUNTIFS($Q$2:Q95,1,'All Data'!$F$2:$F95,'All Data'!$F96)=0),1,0)</f>
        <v>0</v>
      </c>
      <c r="S96" t="str">
        <f>IF($R96=1,SUM($R$2:R96),"")</f>
        <v/>
      </c>
      <c r="T96">
        <f t="shared" si="10"/>
        <v>1</v>
      </c>
      <c r="U96">
        <f>IF(AND($T96=1,'All Data'!$G96&lt;&gt;"",COUNTIFS($T$2:T95,1,'All Data'!$G$2:$G95,'All Data'!$G96)=0),1,0)</f>
        <v>0</v>
      </c>
      <c r="V96" t="str">
        <f>IF($U96=1,SUM($U$2:U96),"")</f>
        <v/>
      </c>
      <c r="W96">
        <f t="shared" si="11"/>
        <v>0</v>
      </c>
      <c r="X96" t="str">
        <f>IF($W96=1,SUM($W$2:W96),"")</f>
        <v/>
      </c>
      <c r="Z96" t="str">
        <f>IFERROR(INDEX('All Data'!$C$2:$C$419,MATCH(94,$J$2:$J$419,0))&amp;"","")</f>
        <v/>
      </c>
      <c r="AB96" t="str">
        <f>IFERROR(INDEX('All Data'!$D$2:$D$419,MATCH(94,$M$2:$M$419,0))&amp;"","")</f>
        <v/>
      </c>
      <c r="AD96" t="str">
        <f>IFERROR(INDEX('All Data'!$E$2:$E$419,MATCH(94,$P$2:$P$419,0))&amp;"","")</f>
        <v/>
      </c>
      <c r="AF96" t="str">
        <f>IFERROR(INDEX('All Data'!$F$2:$F$419,MATCH(94,$S$2:$S$419,0))&amp;"","")</f>
        <v/>
      </c>
      <c r="AH96" t="str">
        <f>IFERROR(INDEX('All Data'!$G$2:$G$419,MATCH(94,$V$2:$V$419,0))&amp;"","")</f>
        <v/>
      </c>
    </row>
    <row r="97" spans="1:34" x14ac:dyDescent="0.3">
      <c r="A97">
        <f>IF(OR($BA1="Any",$BA1=""),1,IF('All Data'!$B97=$BA1,1,0))</f>
        <v>1</v>
      </c>
      <c r="B97">
        <f>IF(OR($BA2="Any",$BA2=""),1,IF('All Data'!$C97=$BA2,1,0))</f>
        <v>1</v>
      </c>
      <c r="C97">
        <f>IF(OR($BA3="Any",$BA3=""),1,IF('All Data'!$D97=$BA3,1,0))</f>
        <v>1</v>
      </c>
      <c r="D97">
        <f>IF(OR($BA4="Any",$BA4=""),1,IF('All Data'!$E97=$BA4,1,0))</f>
        <v>1</v>
      </c>
      <c r="E97">
        <f>IF(OR($BA5="Any",$BA5=""),1,IF('All Data'!$F97=$BA5,1,0))</f>
        <v>1</v>
      </c>
      <c r="F97">
        <f>IF(OR($BA6="Any",$BA6=""),1,IF('All Data'!$G97=$BA6,1,0))</f>
        <v>0</v>
      </c>
      <c r="G97">
        <f>IF(AND(OR($BA$8="",ISNUMBER(SEARCH($BA$8,'All Data'!$K97&amp;" "&amp;'All Data'!$M97))),OR($BA$9="",ISNUMBER(SEARCH($BA$9,'All Data'!$K97&amp;" "&amp;'All Data'!$M97))),OR($BA$10="",ISNUMBER(SEARCH($BA$10,'All Data'!$K97&amp;" "&amp;'All Data'!$M97))),OR($BA$11="",ISNUMBER(SEARCH($BA$11,'All Data'!$K97&amp;" "&amp;'All Data'!$M97))),OR($BA$12="",ISNUMBER(SEARCH($BA$12,'All Data'!$K97&amp;" "&amp;'All Data'!$M97))),OR($BA$13="",ISNUMBER(SEARCH($BA$13,'All Data'!$K97&amp;" "&amp;'All Data'!$M97))),OR($BA$14="",ISNUMBER(SEARCH($BA$14,'All Data'!$K97&amp;" "&amp;'All Data'!$M97))),OR($BA$15="",ISNUMBER(SEARCH($BA$15,'All Data'!$K97&amp;" "&amp;'All Data'!$M97)))),1,0)</f>
        <v>1</v>
      </c>
      <c r="H97">
        <f t="shared" si="6"/>
        <v>1</v>
      </c>
      <c r="I97">
        <f>IF(AND($H97=1,'All Data'!$C97&lt;&gt;"",COUNTIFS($H$2:H96,1,'All Data'!$C$2:$C96,'All Data'!$C97)=0),1,0)</f>
        <v>0</v>
      </c>
      <c r="J97" t="str">
        <f>IF($I97=1,SUM($I$2:I97),"")</f>
        <v/>
      </c>
      <c r="K97">
        <f t="shared" si="7"/>
        <v>1</v>
      </c>
      <c r="L97">
        <f>IF(AND($K97=1,'All Data'!$D97&lt;&gt;"",COUNTIFS($K$2:K96,1,'All Data'!$D$2:$D96,'All Data'!$D97)=0),1,0)</f>
        <v>0</v>
      </c>
      <c r="M97" t="str">
        <f>IF($L97=1,SUM($L$2:L97),"")</f>
        <v/>
      </c>
      <c r="N97">
        <f t="shared" si="8"/>
        <v>1</v>
      </c>
      <c r="O97">
        <f>IF(AND($N97=1,'All Data'!$E97&lt;&gt;"",COUNTIFS($N$2:N96,1,'All Data'!$E$2:$E96,'All Data'!$E97)=0),1,0)</f>
        <v>0</v>
      </c>
      <c r="P97" t="str">
        <f>IF($O97=1,SUM($O$2:O97),"")</f>
        <v/>
      </c>
      <c r="Q97">
        <f t="shared" si="9"/>
        <v>1</v>
      </c>
      <c r="R97">
        <f>IF(AND($Q97=1,'All Data'!$F97&lt;&gt;"",COUNTIFS($Q$2:Q96,1,'All Data'!$F$2:$F96,'All Data'!$F97)=0),1,0)</f>
        <v>0</v>
      </c>
      <c r="S97" t="str">
        <f>IF($R97=1,SUM($R$2:R97),"")</f>
        <v/>
      </c>
      <c r="T97">
        <f t="shared" si="10"/>
        <v>1</v>
      </c>
      <c r="U97">
        <f>IF(AND($T97=1,'All Data'!$G97&lt;&gt;"",COUNTIFS($T$2:T96,1,'All Data'!$G$2:$G96,'All Data'!$G97)=0),1,0)</f>
        <v>0</v>
      </c>
      <c r="V97" t="str">
        <f>IF($U97=1,SUM($U$2:U97),"")</f>
        <v/>
      </c>
      <c r="W97">
        <f t="shared" si="11"/>
        <v>0</v>
      </c>
      <c r="X97" t="str">
        <f>IF($W97=1,SUM($W$2:W97),"")</f>
        <v/>
      </c>
      <c r="Z97" t="str">
        <f>IFERROR(INDEX('All Data'!$C$2:$C$419,MATCH(95,$J$2:$J$419,0))&amp;"","")</f>
        <v/>
      </c>
      <c r="AB97" t="str">
        <f>IFERROR(INDEX('All Data'!$D$2:$D$419,MATCH(95,$M$2:$M$419,0))&amp;"","")</f>
        <v/>
      </c>
      <c r="AD97" t="str">
        <f>IFERROR(INDEX('All Data'!$E$2:$E$419,MATCH(95,$P$2:$P$419,0))&amp;"","")</f>
        <v/>
      </c>
      <c r="AF97" t="str">
        <f>IFERROR(INDEX('All Data'!$F$2:$F$419,MATCH(95,$S$2:$S$419,0))&amp;"","")</f>
        <v/>
      </c>
      <c r="AH97" t="str">
        <f>IFERROR(INDEX('All Data'!$G$2:$G$419,MATCH(95,$V$2:$V$419,0))&amp;"","")</f>
        <v/>
      </c>
    </row>
    <row r="98" spans="1:34" x14ac:dyDescent="0.3">
      <c r="A98">
        <f>IF(OR($BA1="Any",$BA1=""),1,IF('All Data'!$B98=$BA1,1,0))</f>
        <v>1</v>
      </c>
      <c r="B98">
        <f>IF(OR($BA2="Any",$BA2=""),1,IF('All Data'!$C98=$BA2,1,0))</f>
        <v>1</v>
      </c>
      <c r="C98">
        <f>IF(OR($BA3="Any",$BA3=""),1,IF('All Data'!$D98=$BA3,1,0))</f>
        <v>1</v>
      </c>
      <c r="D98">
        <f>IF(OR($BA4="Any",$BA4=""),1,IF('All Data'!$E98=$BA4,1,0))</f>
        <v>1</v>
      </c>
      <c r="E98">
        <f>IF(OR($BA5="Any",$BA5=""),1,IF('All Data'!$F98=$BA5,1,0))</f>
        <v>1</v>
      </c>
      <c r="F98">
        <f>IF(OR($BA6="Any",$BA6=""),1,IF('All Data'!$G98=$BA6,1,0))</f>
        <v>0</v>
      </c>
      <c r="G98">
        <f>IF(AND(OR($BA$8="",ISNUMBER(SEARCH($BA$8,'All Data'!$K98&amp;" "&amp;'All Data'!$M98))),OR($BA$9="",ISNUMBER(SEARCH($BA$9,'All Data'!$K98&amp;" "&amp;'All Data'!$M98))),OR($BA$10="",ISNUMBER(SEARCH($BA$10,'All Data'!$K98&amp;" "&amp;'All Data'!$M98))),OR($BA$11="",ISNUMBER(SEARCH($BA$11,'All Data'!$K98&amp;" "&amp;'All Data'!$M98))),OR($BA$12="",ISNUMBER(SEARCH($BA$12,'All Data'!$K98&amp;" "&amp;'All Data'!$M98))),OR($BA$13="",ISNUMBER(SEARCH($BA$13,'All Data'!$K98&amp;" "&amp;'All Data'!$M98))),OR($BA$14="",ISNUMBER(SEARCH($BA$14,'All Data'!$K98&amp;" "&amp;'All Data'!$M98))),OR($BA$15="",ISNUMBER(SEARCH($BA$15,'All Data'!$K98&amp;" "&amp;'All Data'!$M98)))),1,0)</f>
        <v>1</v>
      </c>
      <c r="H98">
        <f t="shared" si="6"/>
        <v>1</v>
      </c>
      <c r="I98">
        <f>IF(AND($H98=1,'All Data'!$C98&lt;&gt;"",COUNTIFS($H$2:H97,1,'All Data'!$C$2:$C97,'All Data'!$C98)=0),1,0)</f>
        <v>0</v>
      </c>
      <c r="J98" t="str">
        <f>IF($I98=1,SUM($I$2:I98),"")</f>
        <v/>
      </c>
      <c r="K98">
        <f t="shared" si="7"/>
        <v>1</v>
      </c>
      <c r="L98">
        <f>IF(AND($K98=1,'All Data'!$D98&lt;&gt;"",COUNTIFS($K$2:K97,1,'All Data'!$D$2:$D97,'All Data'!$D98)=0),1,0)</f>
        <v>0</v>
      </c>
      <c r="M98" t="str">
        <f>IF($L98=1,SUM($L$2:L98),"")</f>
        <v/>
      </c>
      <c r="N98">
        <f t="shared" si="8"/>
        <v>1</v>
      </c>
      <c r="O98">
        <f>IF(AND($N98=1,'All Data'!$E98&lt;&gt;"",COUNTIFS($N$2:N97,1,'All Data'!$E$2:$E97,'All Data'!$E98)=0),1,0)</f>
        <v>0</v>
      </c>
      <c r="P98" t="str">
        <f>IF($O98=1,SUM($O$2:O98),"")</f>
        <v/>
      </c>
      <c r="Q98">
        <f t="shared" si="9"/>
        <v>1</v>
      </c>
      <c r="R98">
        <f>IF(AND($Q98=1,'All Data'!$F98&lt;&gt;"",COUNTIFS($Q$2:Q97,1,'All Data'!$F$2:$F97,'All Data'!$F98)=0),1,0)</f>
        <v>0</v>
      </c>
      <c r="S98" t="str">
        <f>IF($R98=1,SUM($R$2:R98),"")</f>
        <v/>
      </c>
      <c r="T98">
        <f t="shared" si="10"/>
        <v>1</v>
      </c>
      <c r="U98">
        <f>IF(AND($T98=1,'All Data'!$G98&lt;&gt;"",COUNTIFS($T$2:T97,1,'All Data'!$G$2:$G97,'All Data'!$G98)=0),1,0)</f>
        <v>0</v>
      </c>
      <c r="V98" t="str">
        <f>IF($U98=1,SUM($U$2:U98),"")</f>
        <v/>
      </c>
      <c r="W98">
        <f t="shared" si="11"/>
        <v>0</v>
      </c>
      <c r="X98" t="str">
        <f>IF($W98=1,SUM($W$2:W98),"")</f>
        <v/>
      </c>
      <c r="Z98" t="str">
        <f>IFERROR(INDEX('All Data'!$C$2:$C$419,MATCH(96,$J$2:$J$419,0))&amp;"","")</f>
        <v/>
      </c>
      <c r="AB98" t="str">
        <f>IFERROR(INDEX('All Data'!$D$2:$D$419,MATCH(96,$M$2:$M$419,0))&amp;"","")</f>
        <v/>
      </c>
      <c r="AD98" t="str">
        <f>IFERROR(INDEX('All Data'!$E$2:$E$419,MATCH(96,$P$2:$P$419,0))&amp;"","")</f>
        <v/>
      </c>
      <c r="AF98" t="str">
        <f>IFERROR(INDEX('All Data'!$F$2:$F$419,MATCH(96,$S$2:$S$419,0))&amp;"","")</f>
        <v/>
      </c>
      <c r="AH98" t="str">
        <f>IFERROR(INDEX('All Data'!$G$2:$G$419,MATCH(96,$V$2:$V$419,0))&amp;"","")</f>
        <v/>
      </c>
    </row>
    <row r="99" spans="1:34" x14ac:dyDescent="0.3">
      <c r="A99">
        <f>IF(OR($BA1="Any",$BA1=""),1,IF('All Data'!$B99=$BA1,1,0))</f>
        <v>1</v>
      </c>
      <c r="B99">
        <f>IF(OR($BA2="Any",$BA2=""),1,IF('All Data'!$C99=$BA2,1,0))</f>
        <v>1</v>
      </c>
      <c r="C99">
        <f>IF(OR($BA3="Any",$BA3=""),1,IF('All Data'!$D99=$BA3,1,0))</f>
        <v>1</v>
      </c>
      <c r="D99">
        <f>IF(OR($BA4="Any",$BA4=""),1,IF('All Data'!$E99=$BA4,1,0))</f>
        <v>1</v>
      </c>
      <c r="E99">
        <f>IF(OR($BA5="Any",$BA5=""),1,IF('All Data'!$F99=$BA5,1,0))</f>
        <v>1</v>
      </c>
      <c r="F99">
        <f>IF(OR($BA6="Any",$BA6=""),1,IF('All Data'!$G99=$BA6,1,0))</f>
        <v>0</v>
      </c>
      <c r="G99">
        <f>IF(AND(OR($BA$8="",ISNUMBER(SEARCH($BA$8,'All Data'!$K99&amp;" "&amp;'All Data'!$M99))),OR($BA$9="",ISNUMBER(SEARCH($BA$9,'All Data'!$K99&amp;" "&amp;'All Data'!$M99))),OR($BA$10="",ISNUMBER(SEARCH($BA$10,'All Data'!$K99&amp;" "&amp;'All Data'!$M99))),OR($BA$11="",ISNUMBER(SEARCH($BA$11,'All Data'!$K99&amp;" "&amp;'All Data'!$M99))),OR($BA$12="",ISNUMBER(SEARCH($BA$12,'All Data'!$K99&amp;" "&amp;'All Data'!$M99))),OR($BA$13="",ISNUMBER(SEARCH($BA$13,'All Data'!$K99&amp;" "&amp;'All Data'!$M99))),OR($BA$14="",ISNUMBER(SEARCH($BA$14,'All Data'!$K99&amp;" "&amp;'All Data'!$M99))),OR($BA$15="",ISNUMBER(SEARCH($BA$15,'All Data'!$K99&amp;" "&amp;'All Data'!$M99)))),1,0)</f>
        <v>1</v>
      </c>
      <c r="H99">
        <f t="shared" si="6"/>
        <v>1</v>
      </c>
      <c r="I99">
        <f>IF(AND($H99=1,'All Data'!$C99&lt;&gt;"",COUNTIFS($H$2:H98,1,'All Data'!$C$2:$C98,'All Data'!$C99)=0),1,0)</f>
        <v>0</v>
      </c>
      <c r="J99" t="str">
        <f>IF($I99=1,SUM($I$2:I99),"")</f>
        <v/>
      </c>
      <c r="K99">
        <f t="shared" si="7"/>
        <v>1</v>
      </c>
      <c r="L99">
        <f>IF(AND($K99=1,'All Data'!$D99&lt;&gt;"",COUNTIFS($K$2:K98,1,'All Data'!$D$2:$D98,'All Data'!$D99)=0),1,0)</f>
        <v>1</v>
      </c>
      <c r="M99">
        <f>IF($L99=1,SUM($L$2:L99),"")</f>
        <v>23</v>
      </c>
      <c r="N99">
        <f t="shared" si="8"/>
        <v>1</v>
      </c>
      <c r="O99">
        <f>IF(AND($N99=1,'All Data'!$E99&lt;&gt;"",COUNTIFS($N$2:N98,1,'All Data'!$E$2:$E98,'All Data'!$E99)=0),1,0)</f>
        <v>0</v>
      </c>
      <c r="P99" t="str">
        <f>IF($O99=1,SUM($O$2:O99),"")</f>
        <v/>
      </c>
      <c r="Q99">
        <f t="shared" si="9"/>
        <v>1</v>
      </c>
      <c r="R99">
        <f>IF(AND($Q99=1,'All Data'!$F99&lt;&gt;"",COUNTIFS($Q$2:Q98,1,'All Data'!$F$2:$F98,'All Data'!$F99)=0),1,0)</f>
        <v>0</v>
      </c>
      <c r="S99" t="str">
        <f>IF($R99=1,SUM($R$2:R99),"")</f>
        <v/>
      </c>
      <c r="T99">
        <f t="shared" si="10"/>
        <v>1</v>
      </c>
      <c r="U99">
        <f>IF(AND($T99=1,'All Data'!$G99&lt;&gt;"",COUNTIFS($T$2:T98,1,'All Data'!$G$2:$G98,'All Data'!$G99)=0),1,0)</f>
        <v>0</v>
      </c>
      <c r="V99" t="str">
        <f>IF($U99=1,SUM($U$2:U99),"")</f>
        <v/>
      </c>
      <c r="W99">
        <f t="shared" si="11"/>
        <v>0</v>
      </c>
      <c r="X99" t="str">
        <f>IF($W99=1,SUM($W$2:W99),"")</f>
        <v/>
      </c>
      <c r="Z99" t="str">
        <f>IFERROR(INDEX('All Data'!$C$2:$C$419,MATCH(97,$J$2:$J$419,0))&amp;"","")</f>
        <v/>
      </c>
      <c r="AB99" t="str">
        <f>IFERROR(INDEX('All Data'!$D$2:$D$419,MATCH(97,$M$2:$M$419,0))&amp;"","")</f>
        <v/>
      </c>
      <c r="AD99" t="str">
        <f>IFERROR(INDEX('All Data'!$E$2:$E$419,MATCH(97,$P$2:$P$419,0))&amp;"","")</f>
        <v/>
      </c>
      <c r="AF99" t="str">
        <f>IFERROR(INDEX('All Data'!$F$2:$F$419,MATCH(97,$S$2:$S$419,0))&amp;"","")</f>
        <v/>
      </c>
      <c r="AH99" t="str">
        <f>IFERROR(INDEX('All Data'!$G$2:$G$419,MATCH(97,$V$2:$V$419,0))&amp;"","")</f>
        <v/>
      </c>
    </row>
    <row r="100" spans="1:34" x14ac:dyDescent="0.3">
      <c r="A100">
        <f>IF(OR($BA1="Any",$BA1=""),1,IF('All Data'!$B100=$BA1,1,0))</f>
        <v>1</v>
      </c>
      <c r="B100">
        <f>IF(OR($BA2="Any",$BA2=""),1,IF('All Data'!$C100=$BA2,1,0))</f>
        <v>1</v>
      </c>
      <c r="C100">
        <f>IF(OR($BA3="Any",$BA3=""),1,IF('All Data'!$D100=$BA3,1,0))</f>
        <v>1</v>
      </c>
      <c r="D100">
        <f>IF(OR($BA4="Any",$BA4=""),1,IF('All Data'!$E100=$BA4,1,0))</f>
        <v>1</v>
      </c>
      <c r="E100">
        <f>IF(OR($BA5="Any",$BA5=""),1,IF('All Data'!$F100=$BA5,1,0))</f>
        <v>1</v>
      </c>
      <c r="F100">
        <f>IF(OR($BA6="Any",$BA6=""),1,IF('All Data'!$G100=$BA6,1,0))</f>
        <v>0</v>
      </c>
      <c r="G100">
        <f>IF(AND(OR($BA$8="",ISNUMBER(SEARCH($BA$8,'All Data'!$K100&amp;" "&amp;'All Data'!$M100))),OR($BA$9="",ISNUMBER(SEARCH($BA$9,'All Data'!$K100&amp;" "&amp;'All Data'!$M100))),OR($BA$10="",ISNUMBER(SEARCH($BA$10,'All Data'!$K100&amp;" "&amp;'All Data'!$M100))),OR($BA$11="",ISNUMBER(SEARCH($BA$11,'All Data'!$K100&amp;" "&amp;'All Data'!$M100))),OR($BA$12="",ISNUMBER(SEARCH($BA$12,'All Data'!$K100&amp;" "&amp;'All Data'!$M100))),OR($BA$13="",ISNUMBER(SEARCH($BA$13,'All Data'!$K100&amp;" "&amp;'All Data'!$M100))),OR($BA$14="",ISNUMBER(SEARCH($BA$14,'All Data'!$K100&amp;" "&amp;'All Data'!$M100))),OR($BA$15="",ISNUMBER(SEARCH($BA$15,'All Data'!$K100&amp;" "&amp;'All Data'!$M100)))),1,0)</f>
        <v>1</v>
      </c>
      <c r="H100">
        <f t="shared" si="6"/>
        <v>1</v>
      </c>
      <c r="I100">
        <f>IF(AND($H100=1,'All Data'!$C100&lt;&gt;"",COUNTIFS($H$2:H99,1,'All Data'!$C$2:$C99,'All Data'!$C100)=0),1,0)</f>
        <v>1</v>
      </c>
      <c r="J100">
        <f>IF($I100=1,SUM($I$2:I100),"")</f>
        <v>6</v>
      </c>
      <c r="K100">
        <f t="shared" si="7"/>
        <v>1</v>
      </c>
      <c r="L100">
        <f>IF(AND($K100=1,'All Data'!$D100&lt;&gt;"",COUNTIFS($K$2:K99,1,'All Data'!$D$2:$D99,'All Data'!$D100)=0),1,0)</f>
        <v>1</v>
      </c>
      <c r="M100">
        <f>IF($L100=1,SUM($L$2:L100),"")</f>
        <v>24</v>
      </c>
      <c r="N100">
        <f t="shared" si="8"/>
        <v>1</v>
      </c>
      <c r="O100">
        <f>IF(AND($N100=1,'All Data'!$E100&lt;&gt;"",COUNTIFS($N$2:N99,1,'All Data'!$E$2:$E99,'All Data'!$E100)=0),1,0)</f>
        <v>0</v>
      </c>
      <c r="P100" t="str">
        <f>IF($O100=1,SUM($O$2:O100),"")</f>
        <v/>
      </c>
      <c r="Q100">
        <f t="shared" si="9"/>
        <v>1</v>
      </c>
      <c r="R100">
        <f>IF(AND($Q100=1,'All Data'!$F100&lt;&gt;"",COUNTIFS($Q$2:Q99,1,'All Data'!$F$2:$F99,'All Data'!$F100)=0),1,0)</f>
        <v>0</v>
      </c>
      <c r="S100" t="str">
        <f>IF($R100=1,SUM($R$2:R100),"")</f>
        <v/>
      </c>
      <c r="T100">
        <f t="shared" si="10"/>
        <v>1</v>
      </c>
      <c r="U100">
        <f>IF(AND($T100=1,'All Data'!$G100&lt;&gt;"",COUNTIFS($T$2:T99,1,'All Data'!$G$2:$G99,'All Data'!$G100)=0),1,0)</f>
        <v>0</v>
      </c>
      <c r="V100" t="str">
        <f>IF($U100=1,SUM($U$2:U100),"")</f>
        <v/>
      </c>
      <c r="W100">
        <f t="shared" si="11"/>
        <v>0</v>
      </c>
      <c r="X100" t="str">
        <f>IF($W100=1,SUM($W$2:W100),"")</f>
        <v/>
      </c>
      <c r="Z100" t="str">
        <f>IFERROR(INDEX('All Data'!$C$2:$C$419,MATCH(98,$J$2:$J$419,0))&amp;"","")</f>
        <v/>
      </c>
      <c r="AB100" t="str">
        <f>IFERROR(INDEX('All Data'!$D$2:$D$419,MATCH(98,$M$2:$M$419,0))&amp;"","")</f>
        <v/>
      </c>
      <c r="AD100" t="str">
        <f>IFERROR(INDEX('All Data'!$E$2:$E$419,MATCH(98,$P$2:$P$419,0))&amp;"","")</f>
        <v/>
      </c>
      <c r="AF100" t="str">
        <f>IFERROR(INDEX('All Data'!$F$2:$F$419,MATCH(98,$S$2:$S$419,0))&amp;"","")</f>
        <v/>
      </c>
      <c r="AH100" t="str">
        <f>IFERROR(INDEX('All Data'!$G$2:$G$419,MATCH(98,$V$2:$V$419,0))&amp;"","")</f>
        <v/>
      </c>
    </row>
    <row r="101" spans="1:34" x14ac:dyDescent="0.3">
      <c r="A101">
        <f>IF(OR($BA1="Any",$BA1=""),1,IF('All Data'!$B101=$BA1,1,0))</f>
        <v>1</v>
      </c>
      <c r="B101">
        <f>IF(OR($BA2="Any",$BA2=""),1,IF('All Data'!$C101=$BA2,1,0))</f>
        <v>1</v>
      </c>
      <c r="C101">
        <f>IF(OR($BA3="Any",$BA3=""),1,IF('All Data'!$D101=$BA3,1,0))</f>
        <v>1</v>
      </c>
      <c r="D101">
        <f>IF(OR($BA4="Any",$BA4=""),1,IF('All Data'!$E101=$BA4,1,0))</f>
        <v>1</v>
      </c>
      <c r="E101">
        <f>IF(OR($BA5="Any",$BA5=""),1,IF('All Data'!$F101=$BA5,1,0))</f>
        <v>1</v>
      </c>
      <c r="F101">
        <f>IF(OR($BA6="Any",$BA6=""),1,IF('All Data'!$G101=$BA6,1,0))</f>
        <v>0</v>
      </c>
      <c r="G101">
        <f>IF(AND(OR($BA$8="",ISNUMBER(SEARCH($BA$8,'All Data'!$K101&amp;" "&amp;'All Data'!$M101))),OR($BA$9="",ISNUMBER(SEARCH($BA$9,'All Data'!$K101&amp;" "&amp;'All Data'!$M101))),OR($BA$10="",ISNUMBER(SEARCH($BA$10,'All Data'!$K101&amp;" "&amp;'All Data'!$M101))),OR($BA$11="",ISNUMBER(SEARCH($BA$11,'All Data'!$K101&amp;" "&amp;'All Data'!$M101))),OR($BA$12="",ISNUMBER(SEARCH($BA$12,'All Data'!$K101&amp;" "&amp;'All Data'!$M101))),OR($BA$13="",ISNUMBER(SEARCH($BA$13,'All Data'!$K101&amp;" "&amp;'All Data'!$M101))),OR($BA$14="",ISNUMBER(SEARCH($BA$14,'All Data'!$K101&amp;" "&amp;'All Data'!$M101))),OR($BA$15="",ISNUMBER(SEARCH($BA$15,'All Data'!$K101&amp;" "&amp;'All Data'!$M101)))),1,0)</f>
        <v>1</v>
      </c>
      <c r="H101">
        <f t="shared" si="6"/>
        <v>1</v>
      </c>
      <c r="I101">
        <f>IF(AND($H101=1,'All Data'!$C101&lt;&gt;"",COUNTIFS($H$2:H100,1,'All Data'!$C$2:$C100,'All Data'!$C101)=0),1,0)</f>
        <v>0</v>
      </c>
      <c r="J101" t="str">
        <f>IF($I101=1,SUM($I$2:I101),"")</f>
        <v/>
      </c>
      <c r="K101">
        <f t="shared" si="7"/>
        <v>1</v>
      </c>
      <c r="L101">
        <f>IF(AND($K101=1,'All Data'!$D101&lt;&gt;"",COUNTIFS($K$2:K100,1,'All Data'!$D$2:$D100,'All Data'!$D101)=0),1,0)</f>
        <v>0</v>
      </c>
      <c r="M101" t="str">
        <f>IF($L101=1,SUM($L$2:L101),"")</f>
        <v/>
      </c>
      <c r="N101">
        <f t="shared" si="8"/>
        <v>1</v>
      </c>
      <c r="O101">
        <f>IF(AND($N101=1,'All Data'!$E101&lt;&gt;"",COUNTIFS($N$2:N100,1,'All Data'!$E$2:$E100,'All Data'!$E101)=0),1,0)</f>
        <v>0</v>
      </c>
      <c r="P101" t="str">
        <f>IF($O101=1,SUM($O$2:O101),"")</f>
        <v/>
      </c>
      <c r="Q101">
        <f t="shared" si="9"/>
        <v>1</v>
      </c>
      <c r="R101">
        <f>IF(AND($Q101=1,'All Data'!$F101&lt;&gt;"",COUNTIFS($Q$2:Q100,1,'All Data'!$F$2:$F100,'All Data'!$F101)=0),1,0)</f>
        <v>0</v>
      </c>
      <c r="S101" t="str">
        <f>IF($R101=1,SUM($R$2:R101),"")</f>
        <v/>
      </c>
      <c r="T101">
        <f t="shared" si="10"/>
        <v>1</v>
      </c>
      <c r="U101">
        <f>IF(AND($T101=1,'All Data'!$G101&lt;&gt;"",COUNTIFS($T$2:T100,1,'All Data'!$G$2:$G100,'All Data'!$G101)=0),1,0)</f>
        <v>0</v>
      </c>
      <c r="V101" t="str">
        <f>IF($U101=1,SUM($U$2:U101),"")</f>
        <v/>
      </c>
      <c r="W101">
        <f t="shared" si="11"/>
        <v>0</v>
      </c>
      <c r="X101" t="str">
        <f>IF($W101=1,SUM($W$2:W101),"")</f>
        <v/>
      </c>
      <c r="Z101" t="str">
        <f>IFERROR(INDEX('All Data'!$C$2:$C$419,MATCH(99,$J$2:$J$419,0))&amp;"","")</f>
        <v/>
      </c>
      <c r="AB101" t="str">
        <f>IFERROR(INDEX('All Data'!$D$2:$D$419,MATCH(99,$M$2:$M$419,0))&amp;"","")</f>
        <v/>
      </c>
      <c r="AD101" t="str">
        <f>IFERROR(INDEX('All Data'!$E$2:$E$419,MATCH(99,$P$2:$P$419,0))&amp;"","")</f>
        <v/>
      </c>
      <c r="AF101" t="str">
        <f>IFERROR(INDEX('All Data'!$F$2:$F$419,MATCH(99,$S$2:$S$419,0))&amp;"","")</f>
        <v/>
      </c>
      <c r="AH101" t="str">
        <f>IFERROR(INDEX('All Data'!$G$2:$G$419,MATCH(99,$V$2:$V$419,0))&amp;"","")</f>
        <v/>
      </c>
    </row>
    <row r="102" spans="1:34" x14ac:dyDescent="0.3">
      <c r="A102">
        <f>IF(OR($BA1="Any",$BA1=""),1,IF('All Data'!$B102=$BA1,1,0))</f>
        <v>1</v>
      </c>
      <c r="B102">
        <f>IF(OR($BA2="Any",$BA2=""),1,IF('All Data'!$C102=$BA2,1,0))</f>
        <v>1</v>
      </c>
      <c r="C102">
        <f>IF(OR($BA3="Any",$BA3=""),1,IF('All Data'!$D102=$BA3,1,0))</f>
        <v>1</v>
      </c>
      <c r="D102">
        <f>IF(OR($BA4="Any",$BA4=""),1,IF('All Data'!$E102=$BA4,1,0))</f>
        <v>1</v>
      </c>
      <c r="E102">
        <f>IF(OR($BA5="Any",$BA5=""),1,IF('All Data'!$F102=$BA5,1,0))</f>
        <v>1</v>
      </c>
      <c r="F102">
        <f>IF(OR($BA6="Any",$BA6=""),1,IF('All Data'!$G102=$BA6,1,0))</f>
        <v>0</v>
      </c>
      <c r="G102">
        <f>IF(AND(OR($BA$8="",ISNUMBER(SEARCH($BA$8,'All Data'!$K102&amp;" "&amp;'All Data'!$M102))),OR($BA$9="",ISNUMBER(SEARCH($BA$9,'All Data'!$K102&amp;" "&amp;'All Data'!$M102))),OR($BA$10="",ISNUMBER(SEARCH($BA$10,'All Data'!$K102&amp;" "&amp;'All Data'!$M102))),OR($BA$11="",ISNUMBER(SEARCH($BA$11,'All Data'!$K102&amp;" "&amp;'All Data'!$M102))),OR($BA$12="",ISNUMBER(SEARCH($BA$12,'All Data'!$K102&amp;" "&amp;'All Data'!$M102))),OR($BA$13="",ISNUMBER(SEARCH($BA$13,'All Data'!$K102&amp;" "&amp;'All Data'!$M102))),OR($BA$14="",ISNUMBER(SEARCH($BA$14,'All Data'!$K102&amp;" "&amp;'All Data'!$M102))),OR($BA$15="",ISNUMBER(SEARCH($BA$15,'All Data'!$K102&amp;" "&amp;'All Data'!$M102)))),1,0)</f>
        <v>1</v>
      </c>
      <c r="H102">
        <f t="shared" si="6"/>
        <v>1</v>
      </c>
      <c r="I102">
        <f>IF(AND($H102=1,'All Data'!$C102&lt;&gt;"",COUNTIFS($H$2:H101,1,'All Data'!$C$2:$C101,'All Data'!$C102)=0),1,0)</f>
        <v>0</v>
      </c>
      <c r="J102" t="str">
        <f>IF($I102=1,SUM($I$2:I102),"")</f>
        <v/>
      </c>
      <c r="K102">
        <f t="shared" si="7"/>
        <v>1</v>
      </c>
      <c r="L102">
        <f>IF(AND($K102=1,'All Data'!$D102&lt;&gt;"",COUNTIFS($K$2:K101,1,'All Data'!$D$2:$D101,'All Data'!$D102)=0),1,0)</f>
        <v>1</v>
      </c>
      <c r="M102">
        <f>IF($L102=1,SUM($L$2:L102),"")</f>
        <v>25</v>
      </c>
      <c r="N102">
        <f t="shared" si="8"/>
        <v>1</v>
      </c>
      <c r="O102">
        <f>IF(AND($N102=1,'All Data'!$E102&lt;&gt;"",COUNTIFS($N$2:N101,1,'All Data'!$E$2:$E101,'All Data'!$E102)=0),1,0)</f>
        <v>0</v>
      </c>
      <c r="P102" t="str">
        <f>IF($O102=1,SUM($O$2:O102),"")</f>
        <v/>
      </c>
      <c r="Q102">
        <f t="shared" si="9"/>
        <v>1</v>
      </c>
      <c r="R102">
        <f>IF(AND($Q102=1,'All Data'!$F102&lt;&gt;"",COUNTIFS($Q$2:Q101,1,'All Data'!$F$2:$F101,'All Data'!$F102)=0),1,0)</f>
        <v>0</v>
      </c>
      <c r="S102" t="str">
        <f>IF($R102=1,SUM($R$2:R102),"")</f>
        <v/>
      </c>
      <c r="T102">
        <f t="shared" si="10"/>
        <v>1</v>
      </c>
      <c r="U102">
        <f>IF(AND($T102=1,'All Data'!$G102&lt;&gt;"",COUNTIFS($T$2:T101,1,'All Data'!$G$2:$G101,'All Data'!$G102)=0),1,0)</f>
        <v>0</v>
      </c>
      <c r="V102" t="str">
        <f>IF($U102=1,SUM($U$2:U102),"")</f>
        <v/>
      </c>
      <c r="W102">
        <f t="shared" si="11"/>
        <v>0</v>
      </c>
      <c r="X102" t="str">
        <f>IF($W102=1,SUM($W$2:W102),"")</f>
        <v/>
      </c>
      <c r="Z102" t="str">
        <f>IFERROR(INDEX('All Data'!$C$2:$C$419,MATCH(100,$J$2:$J$419,0))&amp;"","")</f>
        <v/>
      </c>
      <c r="AB102" t="str">
        <f>IFERROR(INDEX('All Data'!$D$2:$D$419,MATCH(100,$M$2:$M$419,0))&amp;"","")</f>
        <v/>
      </c>
      <c r="AD102" t="str">
        <f>IFERROR(INDEX('All Data'!$E$2:$E$419,MATCH(100,$P$2:$P$419,0))&amp;"","")</f>
        <v/>
      </c>
      <c r="AF102" t="str">
        <f>IFERROR(INDEX('All Data'!$F$2:$F$419,MATCH(100,$S$2:$S$419,0))&amp;"","")</f>
        <v/>
      </c>
      <c r="AH102" t="str">
        <f>IFERROR(INDEX('All Data'!$G$2:$G$419,MATCH(100,$V$2:$V$419,0))&amp;"","")</f>
        <v/>
      </c>
    </row>
    <row r="103" spans="1:34" x14ac:dyDescent="0.3">
      <c r="A103">
        <f>IF(OR($BA1="Any",$BA1=""),1,IF('All Data'!$B103=$BA1,1,0))</f>
        <v>1</v>
      </c>
      <c r="B103">
        <f>IF(OR($BA2="Any",$BA2=""),1,IF('All Data'!$C103=$BA2,1,0))</f>
        <v>1</v>
      </c>
      <c r="C103">
        <f>IF(OR($BA3="Any",$BA3=""),1,IF('All Data'!$D103=$BA3,1,0))</f>
        <v>1</v>
      </c>
      <c r="D103">
        <f>IF(OR($BA4="Any",$BA4=""),1,IF('All Data'!$E103=$BA4,1,0))</f>
        <v>1</v>
      </c>
      <c r="E103">
        <f>IF(OR($BA5="Any",$BA5=""),1,IF('All Data'!$F103=$BA5,1,0))</f>
        <v>1</v>
      </c>
      <c r="F103">
        <f>IF(OR($BA6="Any",$BA6=""),1,IF('All Data'!$G103=$BA6,1,0))</f>
        <v>1</v>
      </c>
      <c r="G103">
        <f>IF(AND(OR($BA$8="",ISNUMBER(SEARCH($BA$8,'All Data'!$K103&amp;" "&amp;'All Data'!$M103))),OR($BA$9="",ISNUMBER(SEARCH($BA$9,'All Data'!$K103&amp;" "&amp;'All Data'!$M103))),OR($BA$10="",ISNUMBER(SEARCH($BA$10,'All Data'!$K103&amp;" "&amp;'All Data'!$M103))),OR($BA$11="",ISNUMBER(SEARCH($BA$11,'All Data'!$K103&amp;" "&amp;'All Data'!$M103))),OR($BA$12="",ISNUMBER(SEARCH($BA$12,'All Data'!$K103&amp;" "&amp;'All Data'!$M103))),OR($BA$13="",ISNUMBER(SEARCH($BA$13,'All Data'!$K103&amp;" "&amp;'All Data'!$M103))),OR($BA$14="",ISNUMBER(SEARCH($BA$14,'All Data'!$K103&amp;" "&amp;'All Data'!$M103))),OR($BA$15="",ISNUMBER(SEARCH($BA$15,'All Data'!$K103&amp;" "&amp;'All Data'!$M103)))),1,0)</f>
        <v>1</v>
      </c>
      <c r="H103">
        <f t="shared" si="6"/>
        <v>1</v>
      </c>
      <c r="I103">
        <f>IF(AND($H103=1,'All Data'!$C103&lt;&gt;"",COUNTIFS($H$2:H102,1,'All Data'!$C$2:$C102,'All Data'!$C103)=0),1,0)</f>
        <v>0</v>
      </c>
      <c r="J103" t="str">
        <f>IF($I103=1,SUM($I$2:I103),"")</f>
        <v/>
      </c>
      <c r="K103">
        <f t="shared" si="7"/>
        <v>1</v>
      </c>
      <c r="L103">
        <f>IF(AND($K103=1,'All Data'!$D103&lt;&gt;"",COUNTIFS($K$2:K102,1,'All Data'!$D$2:$D102,'All Data'!$D103)=0),1,0)</f>
        <v>0</v>
      </c>
      <c r="M103" t="str">
        <f>IF($L103=1,SUM($L$2:L103),"")</f>
        <v/>
      </c>
      <c r="N103">
        <f t="shared" si="8"/>
        <v>1</v>
      </c>
      <c r="O103">
        <f>IF(AND($N103=1,'All Data'!$E103&lt;&gt;"",COUNTIFS($N$2:N102,1,'All Data'!$E$2:$E102,'All Data'!$E103)=0),1,0)</f>
        <v>0</v>
      </c>
      <c r="P103" t="str">
        <f>IF($O103=1,SUM($O$2:O103),"")</f>
        <v/>
      </c>
      <c r="Q103">
        <f t="shared" si="9"/>
        <v>1</v>
      </c>
      <c r="R103">
        <f>IF(AND($Q103=1,'All Data'!$F103&lt;&gt;"",COUNTIFS($Q$2:Q102,1,'All Data'!$F$2:$F102,'All Data'!$F103)=0),1,0)</f>
        <v>0</v>
      </c>
      <c r="S103" t="str">
        <f>IF($R103=1,SUM($R$2:R103),"")</f>
        <v/>
      </c>
      <c r="T103">
        <f t="shared" si="10"/>
        <v>1</v>
      </c>
      <c r="U103">
        <f>IF(AND($T103=1,'All Data'!$G103&lt;&gt;"",COUNTIFS($T$2:T102,1,'All Data'!$G$2:$G102,'All Data'!$G103)=0),1,0)</f>
        <v>0</v>
      </c>
      <c r="V103" t="str">
        <f>IF($U103=1,SUM($U$2:U103),"")</f>
        <v/>
      </c>
      <c r="W103">
        <f t="shared" si="11"/>
        <v>1</v>
      </c>
      <c r="X103">
        <f>IF($W103=1,SUM($W$2:W103),"")</f>
        <v>4</v>
      </c>
      <c r="Z103" t="str">
        <f>IFERROR(INDEX('All Data'!$C$2:$C$419,MATCH(101,$J$2:$J$419,0))&amp;"","")</f>
        <v/>
      </c>
      <c r="AB103" t="str">
        <f>IFERROR(INDEX('All Data'!$D$2:$D$419,MATCH(101,$M$2:$M$419,0))&amp;"","")</f>
        <v/>
      </c>
      <c r="AD103" t="str">
        <f>IFERROR(INDEX('All Data'!$E$2:$E$419,MATCH(101,$P$2:$P$419,0))&amp;"","")</f>
        <v/>
      </c>
      <c r="AF103" t="str">
        <f>IFERROR(INDEX('All Data'!$F$2:$F$419,MATCH(101,$S$2:$S$419,0))&amp;"","")</f>
        <v/>
      </c>
      <c r="AH103" t="str">
        <f>IFERROR(INDEX('All Data'!$G$2:$G$419,MATCH(101,$V$2:$V$419,0))&amp;"","")</f>
        <v/>
      </c>
    </row>
    <row r="104" spans="1:34" x14ac:dyDescent="0.3">
      <c r="A104">
        <f>IF(OR($BA1="Any",$BA1=""),1,IF('All Data'!$B104=$BA1,1,0))</f>
        <v>1</v>
      </c>
      <c r="B104">
        <f>IF(OR($BA2="Any",$BA2=""),1,IF('All Data'!$C104=$BA2,1,0))</f>
        <v>1</v>
      </c>
      <c r="C104">
        <f>IF(OR($BA3="Any",$BA3=""),1,IF('All Data'!$D104=$BA3,1,0))</f>
        <v>1</v>
      </c>
      <c r="D104">
        <f>IF(OR($BA4="Any",$BA4=""),1,IF('All Data'!$E104=$BA4,1,0))</f>
        <v>1</v>
      </c>
      <c r="E104">
        <f>IF(OR($BA5="Any",$BA5=""),1,IF('All Data'!$F104=$BA5,1,0))</f>
        <v>1</v>
      </c>
      <c r="F104">
        <f>IF(OR($BA6="Any",$BA6=""),1,IF('All Data'!$G104=$BA6,1,0))</f>
        <v>0</v>
      </c>
      <c r="G104">
        <f>IF(AND(OR($BA$8="",ISNUMBER(SEARCH($BA$8,'All Data'!$K104&amp;" "&amp;'All Data'!$M104))),OR($BA$9="",ISNUMBER(SEARCH($BA$9,'All Data'!$K104&amp;" "&amp;'All Data'!$M104))),OR($BA$10="",ISNUMBER(SEARCH($BA$10,'All Data'!$K104&amp;" "&amp;'All Data'!$M104))),OR($BA$11="",ISNUMBER(SEARCH($BA$11,'All Data'!$K104&amp;" "&amp;'All Data'!$M104))),OR($BA$12="",ISNUMBER(SEARCH($BA$12,'All Data'!$K104&amp;" "&amp;'All Data'!$M104))),OR($BA$13="",ISNUMBER(SEARCH($BA$13,'All Data'!$K104&amp;" "&amp;'All Data'!$M104))),OR($BA$14="",ISNUMBER(SEARCH($BA$14,'All Data'!$K104&amp;" "&amp;'All Data'!$M104))),OR($BA$15="",ISNUMBER(SEARCH($BA$15,'All Data'!$K104&amp;" "&amp;'All Data'!$M104)))),1,0)</f>
        <v>1</v>
      </c>
      <c r="H104">
        <f t="shared" si="6"/>
        <v>1</v>
      </c>
      <c r="I104">
        <f>IF(AND($H104=1,'All Data'!$C104&lt;&gt;"",COUNTIFS($H$2:H103,1,'All Data'!$C$2:$C103,'All Data'!$C104)=0),1,0)</f>
        <v>0</v>
      </c>
      <c r="J104" t="str">
        <f>IF($I104=1,SUM($I$2:I104),"")</f>
        <v/>
      </c>
      <c r="K104">
        <f t="shared" si="7"/>
        <v>1</v>
      </c>
      <c r="L104">
        <f>IF(AND($K104=1,'All Data'!$D104&lt;&gt;"",COUNTIFS($K$2:K103,1,'All Data'!$D$2:$D103,'All Data'!$D104)=0),1,0)</f>
        <v>0</v>
      </c>
      <c r="M104" t="str">
        <f>IF($L104=1,SUM($L$2:L104),"")</f>
        <v/>
      </c>
      <c r="N104">
        <f t="shared" si="8"/>
        <v>1</v>
      </c>
      <c r="O104">
        <f>IF(AND($N104=1,'All Data'!$E104&lt;&gt;"",COUNTIFS($N$2:N103,1,'All Data'!$E$2:$E103,'All Data'!$E104)=0),1,0)</f>
        <v>0</v>
      </c>
      <c r="P104" t="str">
        <f>IF($O104=1,SUM($O$2:O104),"")</f>
        <v/>
      </c>
      <c r="Q104">
        <f t="shared" si="9"/>
        <v>1</v>
      </c>
      <c r="R104">
        <f>IF(AND($Q104=1,'All Data'!$F104&lt;&gt;"",COUNTIFS($Q$2:Q103,1,'All Data'!$F$2:$F103,'All Data'!$F104)=0),1,0)</f>
        <v>0</v>
      </c>
      <c r="S104" t="str">
        <f>IF($R104=1,SUM($R$2:R104),"")</f>
        <v/>
      </c>
      <c r="T104">
        <f t="shared" si="10"/>
        <v>1</v>
      </c>
      <c r="U104">
        <f>IF(AND($T104=1,'All Data'!$G104&lt;&gt;"",COUNTIFS($T$2:T103,1,'All Data'!$G$2:$G103,'All Data'!$G104)=0),1,0)</f>
        <v>0</v>
      </c>
      <c r="V104" t="str">
        <f>IF($U104=1,SUM($U$2:U104),"")</f>
        <v/>
      </c>
      <c r="W104">
        <f t="shared" si="11"/>
        <v>0</v>
      </c>
      <c r="X104" t="str">
        <f>IF($W104=1,SUM($W$2:W104),"")</f>
        <v/>
      </c>
      <c r="Z104" t="str">
        <f>IFERROR(INDEX('All Data'!$C$2:$C$419,MATCH(102,$J$2:$J$419,0))&amp;"","")</f>
        <v/>
      </c>
      <c r="AB104" t="str">
        <f>IFERROR(INDEX('All Data'!$D$2:$D$419,MATCH(102,$M$2:$M$419,0))&amp;"","")</f>
        <v/>
      </c>
      <c r="AD104" t="str">
        <f>IFERROR(INDEX('All Data'!$E$2:$E$419,MATCH(102,$P$2:$P$419,0))&amp;"","")</f>
        <v/>
      </c>
      <c r="AF104" t="str">
        <f>IFERROR(INDEX('All Data'!$F$2:$F$419,MATCH(102,$S$2:$S$419,0))&amp;"","")</f>
        <v/>
      </c>
      <c r="AH104" t="str">
        <f>IFERROR(INDEX('All Data'!$G$2:$G$419,MATCH(102,$V$2:$V$419,0))&amp;"","")</f>
        <v/>
      </c>
    </row>
    <row r="105" spans="1:34" x14ac:dyDescent="0.3">
      <c r="A105">
        <f>IF(OR($BA1="Any",$BA1=""),1,IF('All Data'!$B105=$BA1,1,0))</f>
        <v>1</v>
      </c>
      <c r="B105">
        <f>IF(OR($BA2="Any",$BA2=""),1,IF('All Data'!$C105=$BA2,1,0))</f>
        <v>1</v>
      </c>
      <c r="C105">
        <f>IF(OR($BA3="Any",$BA3=""),1,IF('All Data'!$D105=$BA3,1,0))</f>
        <v>1</v>
      </c>
      <c r="D105">
        <f>IF(OR($BA4="Any",$BA4=""),1,IF('All Data'!$E105=$BA4,1,0))</f>
        <v>1</v>
      </c>
      <c r="E105">
        <f>IF(OR($BA5="Any",$BA5=""),1,IF('All Data'!$F105=$BA5,1,0))</f>
        <v>1</v>
      </c>
      <c r="F105">
        <f>IF(OR($BA6="Any",$BA6=""),1,IF('All Data'!$G105=$BA6,1,0))</f>
        <v>0</v>
      </c>
      <c r="G105">
        <f>IF(AND(OR($BA$8="",ISNUMBER(SEARCH($BA$8,'All Data'!$K105&amp;" "&amp;'All Data'!$M105))),OR($BA$9="",ISNUMBER(SEARCH($BA$9,'All Data'!$K105&amp;" "&amp;'All Data'!$M105))),OR($BA$10="",ISNUMBER(SEARCH($BA$10,'All Data'!$K105&amp;" "&amp;'All Data'!$M105))),OR($BA$11="",ISNUMBER(SEARCH($BA$11,'All Data'!$K105&amp;" "&amp;'All Data'!$M105))),OR($BA$12="",ISNUMBER(SEARCH($BA$12,'All Data'!$K105&amp;" "&amp;'All Data'!$M105))),OR($BA$13="",ISNUMBER(SEARCH($BA$13,'All Data'!$K105&amp;" "&amp;'All Data'!$M105))),OR($BA$14="",ISNUMBER(SEARCH($BA$14,'All Data'!$K105&amp;" "&amp;'All Data'!$M105))),OR($BA$15="",ISNUMBER(SEARCH($BA$15,'All Data'!$K105&amp;" "&amp;'All Data'!$M105)))),1,0)</f>
        <v>1</v>
      </c>
      <c r="H105">
        <f t="shared" si="6"/>
        <v>1</v>
      </c>
      <c r="I105">
        <f>IF(AND($H105=1,'All Data'!$C105&lt;&gt;"",COUNTIFS($H$2:H104,1,'All Data'!$C$2:$C104,'All Data'!$C105)=0),1,0)</f>
        <v>0</v>
      </c>
      <c r="J105" t="str">
        <f>IF($I105=1,SUM($I$2:I105),"")</f>
        <v/>
      </c>
      <c r="K105">
        <f t="shared" si="7"/>
        <v>1</v>
      </c>
      <c r="L105">
        <f>IF(AND($K105=1,'All Data'!$D105&lt;&gt;"",COUNTIFS($K$2:K104,1,'All Data'!$D$2:$D104,'All Data'!$D105)=0),1,0)</f>
        <v>0</v>
      </c>
      <c r="M105" t="str">
        <f>IF($L105=1,SUM($L$2:L105),"")</f>
        <v/>
      </c>
      <c r="N105">
        <f t="shared" si="8"/>
        <v>1</v>
      </c>
      <c r="O105">
        <f>IF(AND($N105=1,'All Data'!$E105&lt;&gt;"",COUNTIFS($N$2:N104,1,'All Data'!$E$2:$E104,'All Data'!$E105)=0),1,0)</f>
        <v>0</v>
      </c>
      <c r="P105" t="str">
        <f>IF($O105=1,SUM($O$2:O105),"")</f>
        <v/>
      </c>
      <c r="Q105">
        <f t="shared" si="9"/>
        <v>1</v>
      </c>
      <c r="R105">
        <f>IF(AND($Q105=1,'All Data'!$F105&lt;&gt;"",COUNTIFS($Q$2:Q104,1,'All Data'!$F$2:$F104,'All Data'!$F105)=0),1,0)</f>
        <v>0</v>
      </c>
      <c r="S105" t="str">
        <f>IF($R105=1,SUM($R$2:R105),"")</f>
        <v/>
      </c>
      <c r="T105">
        <f t="shared" si="10"/>
        <v>1</v>
      </c>
      <c r="U105">
        <f>IF(AND($T105=1,'All Data'!$G105&lt;&gt;"",COUNTIFS($T$2:T104,1,'All Data'!$G$2:$G104,'All Data'!$G105)=0),1,0)</f>
        <v>0</v>
      </c>
      <c r="V105" t="str">
        <f>IF($U105=1,SUM($U$2:U105),"")</f>
        <v/>
      </c>
      <c r="W105">
        <f t="shared" si="11"/>
        <v>0</v>
      </c>
      <c r="X105" t="str">
        <f>IF($W105=1,SUM($W$2:W105),"")</f>
        <v/>
      </c>
      <c r="Z105" t="str">
        <f>IFERROR(INDEX('All Data'!$C$2:$C$419,MATCH(103,$J$2:$J$419,0))&amp;"","")</f>
        <v/>
      </c>
      <c r="AB105" t="str">
        <f>IFERROR(INDEX('All Data'!$D$2:$D$419,MATCH(103,$M$2:$M$419,0))&amp;"","")</f>
        <v/>
      </c>
      <c r="AD105" t="str">
        <f>IFERROR(INDEX('All Data'!$E$2:$E$419,MATCH(103,$P$2:$P$419,0))&amp;"","")</f>
        <v/>
      </c>
      <c r="AF105" t="str">
        <f>IFERROR(INDEX('All Data'!$F$2:$F$419,MATCH(103,$S$2:$S$419,0))&amp;"","")</f>
        <v/>
      </c>
      <c r="AH105" t="str">
        <f>IFERROR(INDEX('All Data'!$G$2:$G$419,MATCH(103,$V$2:$V$419,0))&amp;"","")</f>
        <v/>
      </c>
    </row>
    <row r="106" spans="1:34" x14ac:dyDescent="0.3">
      <c r="A106">
        <f>IF(OR($BA1="Any",$BA1=""),1,IF('All Data'!$B106=$BA1,1,0))</f>
        <v>1</v>
      </c>
      <c r="B106">
        <f>IF(OR($BA2="Any",$BA2=""),1,IF('All Data'!$C106=$BA2,1,0))</f>
        <v>1</v>
      </c>
      <c r="C106">
        <f>IF(OR($BA3="Any",$BA3=""),1,IF('All Data'!$D106=$BA3,1,0))</f>
        <v>1</v>
      </c>
      <c r="D106">
        <f>IF(OR($BA4="Any",$BA4=""),1,IF('All Data'!$E106=$BA4,1,0))</f>
        <v>1</v>
      </c>
      <c r="E106">
        <f>IF(OR($BA5="Any",$BA5=""),1,IF('All Data'!$F106=$BA5,1,0))</f>
        <v>1</v>
      </c>
      <c r="F106">
        <f>IF(OR($BA6="Any",$BA6=""),1,IF('All Data'!$G106=$BA6,1,0))</f>
        <v>0</v>
      </c>
      <c r="G106">
        <f>IF(AND(OR($BA$8="",ISNUMBER(SEARCH($BA$8,'All Data'!$K106&amp;" "&amp;'All Data'!$M106))),OR($BA$9="",ISNUMBER(SEARCH($BA$9,'All Data'!$K106&amp;" "&amp;'All Data'!$M106))),OR($BA$10="",ISNUMBER(SEARCH($BA$10,'All Data'!$K106&amp;" "&amp;'All Data'!$M106))),OR($BA$11="",ISNUMBER(SEARCH($BA$11,'All Data'!$K106&amp;" "&amp;'All Data'!$M106))),OR($BA$12="",ISNUMBER(SEARCH($BA$12,'All Data'!$K106&amp;" "&amp;'All Data'!$M106))),OR($BA$13="",ISNUMBER(SEARCH($BA$13,'All Data'!$K106&amp;" "&amp;'All Data'!$M106))),OR($BA$14="",ISNUMBER(SEARCH($BA$14,'All Data'!$K106&amp;" "&amp;'All Data'!$M106))),OR($BA$15="",ISNUMBER(SEARCH($BA$15,'All Data'!$K106&amp;" "&amp;'All Data'!$M106)))),1,0)</f>
        <v>1</v>
      </c>
      <c r="H106">
        <f t="shared" si="6"/>
        <v>1</v>
      </c>
      <c r="I106">
        <f>IF(AND($H106=1,'All Data'!$C106&lt;&gt;"",COUNTIFS($H$2:H105,1,'All Data'!$C$2:$C105,'All Data'!$C106)=0),1,0)</f>
        <v>0</v>
      </c>
      <c r="J106" t="str">
        <f>IF($I106=1,SUM($I$2:I106),"")</f>
        <v/>
      </c>
      <c r="K106">
        <f t="shared" si="7"/>
        <v>1</v>
      </c>
      <c r="L106">
        <f>IF(AND($K106=1,'All Data'!$D106&lt;&gt;"",COUNTIFS($K$2:K105,1,'All Data'!$D$2:$D105,'All Data'!$D106)=0),1,0)</f>
        <v>0</v>
      </c>
      <c r="M106" t="str">
        <f>IF($L106=1,SUM($L$2:L106),"")</f>
        <v/>
      </c>
      <c r="N106">
        <f t="shared" si="8"/>
        <v>1</v>
      </c>
      <c r="O106">
        <f>IF(AND($N106=1,'All Data'!$E106&lt;&gt;"",COUNTIFS($N$2:N105,1,'All Data'!$E$2:$E105,'All Data'!$E106)=0),1,0)</f>
        <v>0</v>
      </c>
      <c r="P106" t="str">
        <f>IF($O106=1,SUM($O$2:O106),"")</f>
        <v/>
      </c>
      <c r="Q106">
        <f t="shared" si="9"/>
        <v>1</v>
      </c>
      <c r="R106">
        <f>IF(AND($Q106=1,'All Data'!$F106&lt;&gt;"",COUNTIFS($Q$2:Q105,1,'All Data'!$F$2:$F105,'All Data'!$F106)=0),1,0)</f>
        <v>0</v>
      </c>
      <c r="S106" t="str">
        <f>IF($R106=1,SUM($R$2:R106),"")</f>
        <v/>
      </c>
      <c r="T106">
        <f t="shared" si="10"/>
        <v>1</v>
      </c>
      <c r="U106">
        <f>IF(AND($T106=1,'All Data'!$G106&lt;&gt;"",COUNTIFS($T$2:T105,1,'All Data'!$G$2:$G105,'All Data'!$G106)=0),1,0)</f>
        <v>0</v>
      </c>
      <c r="V106" t="str">
        <f>IF($U106=1,SUM($U$2:U106),"")</f>
        <v/>
      </c>
      <c r="W106">
        <f t="shared" si="11"/>
        <v>0</v>
      </c>
      <c r="X106" t="str">
        <f>IF($W106=1,SUM($W$2:W106),"")</f>
        <v/>
      </c>
      <c r="Z106" t="str">
        <f>IFERROR(INDEX('All Data'!$C$2:$C$419,MATCH(104,$J$2:$J$419,0))&amp;"","")</f>
        <v/>
      </c>
      <c r="AB106" t="str">
        <f>IFERROR(INDEX('All Data'!$D$2:$D$419,MATCH(104,$M$2:$M$419,0))&amp;"","")</f>
        <v/>
      </c>
      <c r="AD106" t="str">
        <f>IFERROR(INDEX('All Data'!$E$2:$E$419,MATCH(104,$P$2:$P$419,0))&amp;"","")</f>
        <v/>
      </c>
      <c r="AF106" t="str">
        <f>IFERROR(INDEX('All Data'!$F$2:$F$419,MATCH(104,$S$2:$S$419,0))&amp;"","")</f>
        <v/>
      </c>
      <c r="AH106" t="str">
        <f>IFERROR(INDEX('All Data'!$G$2:$G$419,MATCH(104,$V$2:$V$419,0))&amp;"","")</f>
        <v/>
      </c>
    </row>
    <row r="107" spans="1:34" x14ac:dyDescent="0.3">
      <c r="A107">
        <f>IF(OR($BA1="Any",$BA1=""),1,IF('All Data'!$B107=$BA1,1,0))</f>
        <v>1</v>
      </c>
      <c r="B107">
        <f>IF(OR($BA2="Any",$BA2=""),1,IF('All Data'!$C107=$BA2,1,0))</f>
        <v>1</v>
      </c>
      <c r="C107">
        <f>IF(OR($BA3="Any",$BA3=""),1,IF('All Data'!$D107=$BA3,1,0))</f>
        <v>1</v>
      </c>
      <c r="D107">
        <f>IF(OR($BA4="Any",$BA4=""),1,IF('All Data'!$E107=$BA4,1,0))</f>
        <v>1</v>
      </c>
      <c r="E107">
        <f>IF(OR($BA5="Any",$BA5=""),1,IF('All Data'!$F107=$BA5,1,0))</f>
        <v>1</v>
      </c>
      <c r="F107">
        <f>IF(OR($BA6="Any",$BA6=""),1,IF('All Data'!$G107=$BA6,1,0))</f>
        <v>0</v>
      </c>
      <c r="G107">
        <f>IF(AND(OR($BA$8="",ISNUMBER(SEARCH($BA$8,'All Data'!$K107&amp;" "&amp;'All Data'!$M107))),OR($BA$9="",ISNUMBER(SEARCH($BA$9,'All Data'!$K107&amp;" "&amp;'All Data'!$M107))),OR($BA$10="",ISNUMBER(SEARCH($BA$10,'All Data'!$K107&amp;" "&amp;'All Data'!$M107))),OR($BA$11="",ISNUMBER(SEARCH($BA$11,'All Data'!$K107&amp;" "&amp;'All Data'!$M107))),OR($BA$12="",ISNUMBER(SEARCH($BA$12,'All Data'!$K107&amp;" "&amp;'All Data'!$M107))),OR($BA$13="",ISNUMBER(SEARCH($BA$13,'All Data'!$K107&amp;" "&amp;'All Data'!$M107))),OR($BA$14="",ISNUMBER(SEARCH($BA$14,'All Data'!$K107&amp;" "&amp;'All Data'!$M107))),OR($BA$15="",ISNUMBER(SEARCH($BA$15,'All Data'!$K107&amp;" "&amp;'All Data'!$M107)))),1,0)</f>
        <v>1</v>
      </c>
      <c r="H107">
        <f t="shared" si="6"/>
        <v>1</v>
      </c>
      <c r="I107">
        <f>IF(AND($H107=1,'All Data'!$C107&lt;&gt;"",COUNTIFS($H$2:H106,1,'All Data'!$C$2:$C106,'All Data'!$C107)=0),1,0)</f>
        <v>0</v>
      </c>
      <c r="J107" t="str">
        <f>IF($I107=1,SUM($I$2:I107),"")</f>
        <v/>
      </c>
      <c r="K107">
        <f t="shared" si="7"/>
        <v>1</v>
      </c>
      <c r="L107">
        <f>IF(AND($K107=1,'All Data'!$D107&lt;&gt;"",COUNTIFS($K$2:K106,1,'All Data'!$D$2:$D106,'All Data'!$D107)=0),1,0)</f>
        <v>0</v>
      </c>
      <c r="M107" t="str">
        <f>IF($L107=1,SUM($L$2:L107),"")</f>
        <v/>
      </c>
      <c r="N107">
        <f t="shared" si="8"/>
        <v>1</v>
      </c>
      <c r="O107">
        <f>IF(AND($N107=1,'All Data'!$E107&lt;&gt;"",COUNTIFS($N$2:N106,1,'All Data'!$E$2:$E106,'All Data'!$E107)=0),1,0)</f>
        <v>0</v>
      </c>
      <c r="P107" t="str">
        <f>IF($O107=1,SUM($O$2:O107),"")</f>
        <v/>
      </c>
      <c r="Q107">
        <f t="shared" si="9"/>
        <v>1</v>
      </c>
      <c r="R107">
        <f>IF(AND($Q107=1,'All Data'!$F107&lt;&gt;"",COUNTIFS($Q$2:Q106,1,'All Data'!$F$2:$F106,'All Data'!$F107)=0),1,0)</f>
        <v>0</v>
      </c>
      <c r="S107" t="str">
        <f>IF($R107=1,SUM($R$2:R107),"")</f>
        <v/>
      </c>
      <c r="T107">
        <f t="shared" si="10"/>
        <v>1</v>
      </c>
      <c r="U107">
        <f>IF(AND($T107=1,'All Data'!$G107&lt;&gt;"",COUNTIFS($T$2:T106,1,'All Data'!$G$2:$G106,'All Data'!$G107)=0),1,0)</f>
        <v>0</v>
      </c>
      <c r="V107" t="str">
        <f>IF($U107=1,SUM($U$2:U107),"")</f>
        <v/>
      </c>
      <c r="W107">
        <f t="shared" si="11"/>
        <v>0</v>
      </c>
      <c r="X107" t="str">
        <f>IF($W107=1,SUM($W$2:W107),"")</f>
        <v/>
      </c>
      <c r="Z107" t="str">
        <f>IFERROR(INDEX('All Data'!$C$2:$C$419,MATCH(105,$J$2:$J$419,0))&amp;"","")</f>
        <v/>
      </c>
      <c r="AB107" t="str">
        <f>IFERROR(INDEX('All Data'!$D$2:$D$419,MATCH(105,$M$2:$M$419,0))&amp;"","")</f>
        <v/>
      </c>
      <c r="AD107" t="str">
        <f>IFERROR(INDEX('All Data'!$E$2:$E$419,MATCH(105,$P$2:$P$419,0))&amp;"","")</f>
        <v/>
      </c>
      <c r="AF107" t="str">
        <f>IFERROR(INDEX('All Data'!$F$2:$F$419,MATCH(105,$S$2:$S$419,0))&amp;"","")</f>
        <v/>
      </c>
      <c r="AH107" t="str">
        <f>IFERROR(INDEX('All Data'!$G$2:$G$419,MATCH(105,$V$2:$V$419,0))&amp;"","")</f>
        <v/>
      </c>
    </row>
    <row r="108" spans="1:34" x14ac:dyDescent="0.3">
      <c r="A108">
        <f>IF(OR($BA1="Any",$BA1=""),1,IF('All Data'!$B108=$BA1,1,0))</f>
        <v>1</v>
      </c>
      <c r="B108">
        <f>IF(OR($BA2="Any",$BA2=""),1,IF('All Data'!$C108=$BA2,1,0))</f>
        <v>1</v>
      </c>
      <c r="C108">
        <f>IF(OR($BA3="Any",$BA3=""),1,IF('All Data'!$D108=$BA3,1,0))</f>
        <v>1</v>
      </c>
      <c r="D108">
        <f>IF(OR($BA4="Any",$BA4=""),1,IF('All Data'!$E108=$BA4,1,0))</f>
        <v>1</v>
      </c>
      <c r="E108">
        <f>IF(OR($BA5="Any",$BA5=""),1,IF('All Data'!$F108=$BA5,1,0))</f>
        <v>1</v>
      </c>
      <c r="F108">
        <f>IF(OR($BA6="Any",$BA6=""),1,IF('All Data'!$G108=$BA6,1,0))</f>
        <v>0</v>
      </c>
      <c r="G108">
        <f>IF(AND(OR($BA$8="",ISNUMBER(SEARCH($BA$8,'All Data'!$K108&amp;" "&amp;'All Data'!$M108))),OR($BA$9="",ISNUMBER(SEARCH($BA$9,'All Data'!$K108&amp;" "&amp;'All Data'!$M108))),OR($BA$10="",ISNUMBER(SEARCH($BA$10,'All Data'!$K108&amp;" "&amp;'All Data'!$M108))),OR($BA$11="",ISNUMBER(SEARCH($BA$11,'All Data'!$K108&amp;" "&amp;'All Data'!$M108))),OR($BA$12="",ISNUMBER(SEARCH($BA$12,'All Data'!$K108&amp;" "&amp;'All Data'!$M108))),OR($BA$13="",ISNUMBER(SEARCH($BA$13,'All Data'!$K108&amp;" "&amp;'All Data'!$M108))),OR($BA$14="",ISNUMBER(SEARCH($BA$14,'All Data'!$K108&amp;" "&amp;'All Data'!$M108))),OR($BA$15="",ISNUMBER(SEARCH($BA$15,'All Data'!$K108&amp;" "&amp;'All Data'!$M108)))),1,0)</f>
        <v>1</v>
      </c>
      <c r="H108">
        <f t="shared" si="6"/>
        <v>1</v>
      </c>
      <c r="I108">
        <f>IF(AND($H108=1,'All Data'!$C108&lt;&gt;"",COUNTIFS($H$2:H107,1,'All Data'!$C$2:$C107,'All Data'!$C108)=0),1,0)</f>
        <v>0</v>
      </c>
      <c r="J108" t="str">
        <f>IF($I108=1,SUM($I$2:I108),"")</f>
        <v/>
      </c>
      <c r="K108">
        <f t="shared" si="7"/>
        <v>1</v>
      </c>
      <c r="L108">
        <f>IF(AND($K108=1,'All Data'!$D108&lt;&gt;"",COUNTIFS($K$2:K107,1,'All Data'!$D$2:$D107,'All Data'!$D108)=0),1,0)</f>
        <v>0</v>
      </c>
      <c r="M108" t="str">
        <f>IF($L108=1,SUM($L$2:L108),"")</f>
        <v/>
      </c>
      <c r="N108">
        <f t="shared" si="8"/>
        <v>1</v>
      </c>
      <c r="O108">
        <f>IF(AND($N108=1,'All Data'!$E108&lt;&gt;"",COUNTIFS($N$2:N107,1,'All Data'!$E$2:$E107,'All Data'!$E108)=0),1,0)</f>
        <v>0</v>
      </c>
      <c r="P108" t="str">
        <f>IF($O108=1,SUM($O$2:O108),"")</f>
        <v/>
      </c>
      <c r="Q108">
        <f t="shared" si="9"/>
        <v>1</v>
      </c>
      <c r="R108">
        <f>IF(AND($Q108=1,'All Data'!$F108&lt;&gt;"",COUNTIFS($Q$2:Q107,1,'All Data'!$F$2:$F107,'All Data'!$F108)=0),1,0)</f>
        <v>0</v>
      </c>
      <c r="S108" t="str">
        <f>IF($R108=1,SUM($R$2:R108),"")</f>
        <v/>
      </c>
      <c r="T108">
        <f t="shared" si="10"/>
        <v>1</v>
      </c>
      <c r="U108">
        <f>IF(AND($T108=1,'All Data'!$G108&lt;&gt;"",COUNTIFS($T$2:T107,1,'All Data'!$G$2:$G107,'All Data'!$G108)=0),1,0)</f>
        <v>1</v>
      </c>
      <c r="V108">
        <f>IF($U108=1,SUM($U$2:U108),"")</f>
        <v>42</v>
      </c>
      <c r="W108">
        <f t="shared" si="11"/>
        <v>0</v>
      </c>
      <c r="X108" t="str">
        <f>IF($W108=1,SUM($W$2:W108),"")</f>
        <v/>
      </c>
      <c r="Z108" t="str">
        <f>IFERROR(INDEX('All Data'!$C$2:$C$419,MATCH(106,$J$2:$J$419,0))&amp;"","")</f>
        <v/>
      </c>
      <c r="AB108" t="str">
        <f>IFERROR(INDEX('All Data'!$D$2:$D$419,MATCH(106,$M$2:$M$419,0))&amp;"","")</f>
        <v/>
      </c>
      <c r="AD108" t="str">
        <f>IFERROR(INDEX('All Data'!$E$2:$E$419,MATCH(106,$P$2:$P$419,0))&amp;"","")</f>
        <v/>
      </c>
      <c r="AF108" t="str">
        <f>IFERROR(INDEX('All Data'!$F$2:$F$419,MATCH(106,$S$2:$S$419,0))&amp;"","")</f>
        <v/>
      </c>
      <c r="AH108" t="str">
        <f>IFERROR(INDEX('All Data'!$G$2:$G$419,MATCH(106,$V$2:$V$419,0))&amp;"","")</f>
        <v/>
      </c>
    </row>
    <row r="109" spans="1:34" x14ac:dyDescent="0.3">
      <c r="A109">
        <f>IF(OR($BA1="Any",$BA1=""),1,IF('All Data'!$B109=$BA1,1,0))</f>
        <v>1</v>
      </c>
      <c r="B109">
        <f>IF(OR($BA2="Any",$BA2=""),1,IF('All Data'!$C109=$BA2,1,0))</f>
        <v>1</v>
      </c>
      <c r="C109">
        <f>IF(OR($BA3="Any",$BA3=""),1,IF('All Data'!$D109=$BA3,1,0))</f>
        <v>1</v>
      </c>
      <c r="D109">
        <f>IF(OR($BA4="Any",$BA4=""),1,IF('All Data'!$E109=$BA4,1,0))</f>
        <v>1</v>
      </c>
      <c r="E109">
        <f>IF(OR($BA5="Any",$BA5=""),1,IF('All Data'!$F109=$BA5,1,0))</f>
        <v>1</v>
      </c>
      <c r="F109">
        <f>IF(OR($BA6="Any",$BA6=""),1,IF('All Data'!$G109=$BA6,1,0))</f>
        <v>0</v>
      </c>
      <c r="G109">
        <f>IF(AND(OR($BA$8="",ISNUMBER(SEARCH($BA$8,'All Data'!$K109&amp;" "&amp;'All Data'!$M109))),OR($BA$9="",ISNUMBER(SEARCH($BA$9,'All Data'!$K109&amp;" "&amp;'All Data'!$M109))),OR($BA$10="",ISNUMBER(SEARCH($BA$10,'All Data'!$K109&amp;" "&amp;'All Data'!$M109))),OR($BA$11="",ISNUMBER(SEARCH($BA$11,'All Data'!$K109&amp;" "&amp;'All Data'!$M109))),OR($BA$12="",ISNUMBER(SEARCH($BA$12,'All Data'!$K109&amp;" "&amp;'All Data'!$M109))),OR($BA$13="",ISNUMBER(SEARCH($BA$13,'All Data'!$K109&amp;" "&amp;'All Data'!$M109))),OR($BA$14="",ISNUMBER(SEARCH($BA$14,'All Data'!$K109&amp;" "&amp;'All Data'!$M109))),OR($BA$15="",ISNUMBER(SEARCH($BA$15,'All Data'!$K109&amp;" "&amp;'All Data'!$M109)))),1,0)</f>
        <v>1</v>
      </c>
      <c r="H109">
        <f t="shared" si="6"/>
        <v>1</v>
      </c>
      <c r="I109">
        <f>IF(AND($H109=1,'All Data'!$C109&lt;&gt;"",COUNTIFS($H$2:H108,1,'All Data'!$C$2:$C108,'All Data'!$C109)=0),1,0)</f>
        <v>0</v>
      </c>
      <c r="J109" t="str">
        <f>IF($I109=1,SUM($I$2:I109),"")</f>
        <v/>
      </c>
      <c r="K109">
        <f t="shared" si="7"/>
        <v>1</v>
      </c>
      <c r="L109">
        <f>IF(AND($K109=1,'All Data'!$D109&lt;&gt;"",COUNTIFS($K$2:K108,1,'All Data'!$D$2:$D108,'All Data'!$D109)=0),1,0)</f>
        <v>0</v>
      </c>
      <c r="M109" t="str">
        <f>IF($L109=1,SUM($L$2:L109),"")</f>
        <v/>
      </c>
      <c r="N109">
        <f t="shared" si="8"/>
        <v>1</v>
      </c>
      <c r="O109">
        <f>IF(AND($N109=1,'All Data'!$E109&lt;&gt;"",COUNTIFS($N$2:N108,1,'All Data'!$E$2:$E108,'All Data'!$E109)=0),1,0)</f>
        <v>0</v>
      </c>
      <c r="P109" t="str">
        <f>IF($O109=1,SUM($O$2:O109),"")</f>
        <v/>
      </c>
      <c r="Q109">
        <f t="shared" si="9"/>
        <v>1</v>
      </c>
      <c r="R109">
        <f>IF(AND($Q109=1,'All Data'!$F109&lt;&gt;"",COUNTIFS($Q$2:Q108,1,'All Data'!$F$2:$F108,'All Data'!$F109)=0),1,0)</f>
        <v>0</v>
      </c>
      <c r="S109" t="str">
        <f>IF($R109=1,SUM($R$2:R109),"")</f>
        <v/>
      </c>
      <c r="T109">
        <f t="shared" si="10"/>
        <v>1</v>
      </c>
      <c r="U109">
        <f>IF(AND($T109=1,'All Data'!$G109&lt;&gt;"",COUNTIFS($T$2:T108,1,'All Data'!$G$2:$G108,'All Data'!$G109)=0),1,0)</f>
        <v>1</v>
      </c>
      <c r="V109">
        <f>IF($U109=1,SUM($U$2:U109),"")</f>
        <v>43</v>
      </c>
      <c r="W109">
        <f t="shared" si="11"/>
        <v>0</v>
      </c>
      <c r="X109" t="str">
        <f>IF($W109=1,SUM($W$2:W109),"")</f>
        <v/>
      </c>
      <c r="Z109" t="str">
        <f>IFERROR(INDEX('All Data'!$C$2:$C$419,MATCH(107,$J$2:$J$419,0))&amp;"","")</f>
        <v/>
      </c>
      <c r="AB109" t="str">
        <f>IFERROR(INDEX('All Data'!$D$2:$D$419,MATCH(107,$M$2:$M$419,0))&amp;"","")</f>
        <v/>
      </c>
      <c r="AD109" t="str">
        <f>IFERROR(INDEX('All Data'!$E$2:$E$419,MATCH(107,$P$2:$P$419,0))&amp;"","")</f>
        <v/>
      </c>
      <c r="AF109" t="str">
        <f>IFERROR(INDEX('All Data'!$F$2:$F$419,MATCH(107,$S$2:$S$419,0))&amp;"","")</f>
        <v/>
      </c>
      <c r="AH109" t="str">
        <f>IFERROR(INDEX('All Data'!$G$2:$G$419,MATCH(107,$V$2:$V$419,0))&amp;"","")</f>
        <v/>
      </c>
    </row>
    <row r="110" spans="1:34" x14ac:dyDescent="0.3">
      <c r="A110">
        <f>IF(OR($BA1="Any",$BA1=""),1,IF('All Data'!$B110=$BA1,1,0))</f>
        <v>1</v>
      </c>
      <c r="B110">
        <f>IF(OR($BA2="Any",$BA2=""),1,IF('All Data'!$C110=$BA2,1,0))</f>
        <v>1</v>
      </c>
      <c r="C110">
        <f>IF(OR($BA3="Any",$BA3=""),1,IF('All Data'!$D110=$BA3,1,0))</f>
        <v>1</v>
      </c>
      <c r="D110">
        <f>IF(OR($BA4="Any",$BA4=""),1,IF('All Data'!$E110=$BA4,1,0))</f>
        <v>1</v>
      </c>
      <c r="E110">
        <f>IF(OR($BA5="Any",$BA5=""),1,IF('All Data'!$F110=$BA5,1,0))</f>
        <v>1</v>
      </c>
      <c r="F110">
        <f>IF(OR($BA6="Any",$BA6=""),1,IF('All Data'!$G110=$BA6,1,0))</f>
        <v>0</v>
      </c>
      <c r="G110">
        <f>IF(AND(OR($BA$8="",ISNUMBER(SEARCH($BA$8,'All Data'!$K110&amp;" "&amp;'All Data'!$M110))),OR($BA$9="",ISNUMBER(SEARCH($BA$9,'All Data'!$K110&amp;" "&amp;'All Data'!$M110))),OR($BA$10="",ISNUMBER(SEARCH($BA$10,'All Data'!$K110&amp;" "&amp;'All Data'!$M110))),OR($BA$11="",ISNUMBER(SEARCH($BA$11,'All Data'!$K110&amp;" "&amp;'All Data'!$M110))),OR($BA$12="",ISNUMBER(SEARCH($BA$12,'All Data'!$K110&amp;" "&amp;'All Data'!$M110))),OR($BA$13="",ISNUMBER(SEARCH($BA$13,'All Data'!$K110&amp;" "&amp;'All Data'!$M110))),OR($BA$14="",ISNUMBER(SEARCH($BA$14,'All Data'!$K110&amp;" "&amp;'All Data'!$M110))),OR($BA$15="",ISNUMBER(SEARCH($BA$15,'All Data'!$K110&amp;" "&amp;'All Data'!$M110)))),1,0)</f>
        <v>1</v>
      </c>
      <c r="H110">
        <f t="shared" si="6"/>
        <v>1</v>
      </c>
      <c r="I110">
        <f>IF(AND($H110=1,'All Data'!$C110&lt;&gt;"",COUNTIFS($H$2:H109,1,'All Data'!$C$2:$C109,'All Data'!$C110)=0),1,0)</f>
        <v>0</v>
      </c>
      <c r="J110" t="str">
        <f>IF($I110=1,SUM($I$2:I110),"")</f>
        <v/>
      </c>
      <c r="K110">
        <f t="shared" si="7"/>
        <v>1</v>
      </c>
      <c r="L110">
        <f>IF(AND($K110=1,'All Data'!$D110&lt;&gt;"",COUNTIFS($K$2:K109,1,'All Data'!$D$2:$D109,'All Data'!$D110)=0),1,0)</f>
        <v>0</v>
      </c>
      <c r="M110" t="str">
        <f>IF($L110=1,SUM($L$2:L110),"")</f>
        <v/>
      </c>
      <c r="N110">
        <f t="shared" si="8"/>
        <v>1</v>
      </c>
      <c r="O110">
        <f>IF(AND($N110=1,'All Data'!$E110&lt;&gt;"",COUNTIFS($N$2:N109,1,'All Data'!$E$2:$E109,'All Data'!$E110)=0),1,0)</f>
        <v>0</v>
      </c>
      <c r="P110" t="str">
        <f>IF($O110=1,SUM($O$2:O110),"")</f>
        <v/>
      </c>
      <c r="Q110">
        <f t="shared" si="9"/>
        <v>1</v>
      </c>
      <c r="R110">
        <f>IF(AND($Q110=1,'All Data'!$F110&lt;&gt;"",COUNTIFS($Q$2:Q109,1,'All Data'!$F$2:$F109,'All Data'!$F110)=0),1,0)</f>
        <v>0</v>
      </c>
      <c r="S110" t="str">
        <f>IF($R110=1,SUM($R$2:R110),"")</f>
        <v/>
      </c>
      <c r="T110">
        <f t="shared" si="10"/>
        <v>1</v>
      </c>
      <c r="U110">
        <f>IF(AND($T110=1,'All Data'!$G110&lt;&gt;"",COUNTIFS($T$2:T109,1,'All Data'!$G$2:$G109,'All Data'!$G110)=0),1,0)</f>
        <v>1</v>
      </c>
      <c r="V110">
        <f>IF($U110=1,SUM($U$2:U110),"")</f>
        <v>44</v>
      </c>
      <c r="W110">
        <f t="shared" si="11"/>
        <v>0</v>
      </c>
      <c r="X110" t="str">
        <f>IF($W110=1,SUM($W$2:W110),"")</f>
        <v/>
      </c>
      <c r="Z110" t="str">
        <f>IFERROR(INDEX('All Data'!$C$2:$C$419,MATCH(108,$J$2:$J$419,0))&amp;"","")</f>
        <v/>
      </c>
      <c r="AB110" t="str">
        <f>IFERROR(INDEX('All Data'!$D$2:$D$419,MATCH(108,$M$2:$M$419,0))&amp;"","")</f>
        <v/>
      </c>
      <c r="AD110" t="str">
        <f>IFERROR(INDEX('All Data'!$E$2:$E$419,MATCH(108,$P$2:$P$419,0))&amp;"","")</f>
        <v/>
      </c>
      <c r="AF110" t="str">
        <f>IFERROR(INDEX('All Data'!$F$2:$F$419,MATCH(108,$S$2:$S$419,0))&amp;"","")</f>
        <v/>
      </c>
      <c r="AH110" t="str">
        <f>IFERROR(INDEX('All Data'!$G$2:$G$419,MATCH(108,$V$2:$V$419,0))&amp;"","")</f>
        <v/>
      </c>
    </row>
    <row r="111" spans="1:34" x14ac:dyDescent="0.3">
      <c r="A111">
        <f>IF(OR($BA1="Any",$BA1=""),1,IF('All Data'!$B111=$BA1,1,0))</f>
        <v>1</v>
      </c>
      <c r="B111">
        <f>IF(OR($BA2="Any",$BA2=""),1,IF('All Data'!$C111=$BA2,1,0))</f>
        <v>1</v>
      </c>
      <c r="C111">
        <f>IF(OR($BA3="Any",$BA3=""),1,IF('All Data'!$D111=$BA3,1,0))</f>
        <v>1</v>
      </c>
      <c r="D111">
        <f>IF(OR($BA4="Any",$BA4=""),1,IF('All Data'!$E111=$BA4,1,0))</f>
        <v>1</v>
      </c>
      <c r="E111">
        <f>IF(OR($BA5="Any",$BA5=""),1,IF('All Data'!$F111=$BA5,1,0))</f>
        <v>1</v>
      </c>
      <c r="F111">
        <f>IF(OR($BA6="Any",$BA6=""),1,IF('All Data'!$G111=$BA6,1,0))</f>
        <v>0</v>
      </c>
      <c r="G111">
        <f>IF(AND(OR($BA$8="",ISNUMBER(SEARCH($BA$8,'All Data'!$K111&amp;" "&amp;'All Data'!$M111))),OR($BA$9="",ISNUMBER(SEARCH($BA$9,'All Data'!$K111&amp;" "&amp;'All Data'!$M111))),OR($BA$10="",ISNUMBER(SEARCH($BA$10,'All Data'!$K111&amp;" "&amp;'All Data'!$M111))),OR($BA$11="",ISNUMBER(SEARCH($BA$11,'All Data'!$K111&amp;" "&amp;'All Data'!$M111))),OR($BA$12="",ISNUMBER(SEARCH($BA$12,'All Data'!$K111&amp;" "&amp;'All Data'!$M111))),OR($BA$13="",ISNUMBER(SEARCH($BA$13,'All Data'!$K111&amp;" "&amp;'All Data'!$M111))),OR($BA$14="",ISNUMBER(SEARCH($BA$14,'All Data'!$K111&amp;" "&amp;'All Data'!$M111))),OR($BA$15="",ISNUMBER(SEARCH($BA$15,'All Data'!$K111&amp;" "&amp;'All Data'!$M111)))),1,0)</f>
        <v>1</v>
      </c>
      <c r="H111">
        <f t="shared" si="6"/>
        <v>1</v>
      </c>
      <c r="I111">
        <f>IF(AND($H111=1,'All Data'!$C111&lt;&gt;"",COUNTIFS($H$2:H110,1,'All Data'!$C$2:$C110,'All Data'!$C111)=0),1,0)</f>
        <v>0</v>
      </c>
      <c r="J111" t="str">
        <f>IF($I111=1,SUM($I$2:I111),"")</f>
        <v/>
      </c>
      <c r="K111">
        <f t="shared" si="7"/>
        <v>1</v>
      </c>
      <c r="L111">
        <f>IF(AND($K111=1,'All Data'!$D111&lt;&gt;"",COUNTIFS($K$2:K110,1,'All Data'!$D$2:$D110,'All Data'!$D111)=0),1,0)</f>
        <v>0</v>
      </c>
      <c r="M111" t="str">
        <f>IF($L111=1,SUM($L$2:L111),"")</f>
        <v/>
      </c>
      <c r="N111">
        <f t="shared" si="8"/>
        <v>1</v>
      </c>
      <c r="O111">
        <f>IF(AND($N111=1,'All Data'!$E111&lt;&gt;"",COUNTIFS($N$2:N110,1,'All Data'!$E$2:$E110,'All Data'!$E111)=0),1,0)</f>
        <v>0</v>
      </c>
      <c r="P111" t="str">
        <f>IF($O111=1,SUM($O$2:O111),"")</f>
        <v/>
      </c>
      <c r="Q111">
        <f t="shared" si="9"/>
        <v>1</v>
      </c>
      <c r="R111">
        <f>IF(AND($Q111=1,'All Data'!$F111&lt;&gt;"",COUNTIFS($Q$2:Q110,1,'All Data'!$F$2:$F110,'All Data'!$F111)=0),1,0)</f>
        <v>0</v>
      </c>
      <c r="S111" t="str">
        <f>IF($R111=1,SUM($R$2:R111),"")</f>
        <v/>
      </c>
      <c r="T111">
        <f t="shared" si="10"/>
        <v>1</v>
      </c>
      <c r="U111">
        <f>IF(AND($T111=1,'All Data'!$G111&lt;&gt;"",COUNTIFS($T$2:T110,1,'All Data'!$G$2:$G110,'All Data'!$G111)=0),1,0)</f>
        <v>1</v>
      </c>
      <c r="V111">
        <f>IF($U111=1,SUM($U$2:U111),"")</f>
        <v>45</v>
      </c>
      <c r="W111">
        <f t="shared" si="11"/>
        <v>0</v>
      </c>
      <c r="X111" t="str">
        <f>IF($W111=1,SUM($W$2:W111),"")</f>
        <v/>
      </c>
      <c r="Z111" t="str">
        <f>IFERROR(INDEX('All Data'!$C$2:$C$419,MATCH(109,$J$2:$J$419,0))&amp;"","")</f>
        <v/>
      </c>
      <c r="AB111" t="str">
        <f>IFERROR(INDEX('All Data'!$D$2:$D$419,MATCH(109,$M$2:$M$419,0))&amp;"","")</f>
        <v/>
      </c>
      <c r="AD111" t="str">
        <f>IFERROR(INDEX('All Data'!$E$2:$E$419,MATCH(109,$P$2:$P$419,0))&amp;"","")</f>
        <v/>
      </c>
      <c r="AF111" t="str">
        <f>IFERROR(INDEX('All Data'!$F$2:$F$419,MATCH(109,$S$2:$S$419,0))&amp;"","")</f>
        <v/>
      </c>
      <c r="AH111" t="str">
        <f>IFERROR(INDEX('All Data'!$G$2:$G$419,MATCH(109,$V$2:$V$419,0))&amp;"","")</f>
        <v/>
      </c>
    </row>
    <row r="112" spans="1:34" x14ac:dyDescent="0.3">
      <c r="A112">
        <f>IF(OR($BA1="Any",$BA1=""),1,IF('All Data'!$B112=$BA1,1,0))</f>
        <v>1</v>
      </c>
      <c r="B112">
        <f>IF(OR($BA2="Any",$BA2=""),1,IF('All Data'!$C112=$BA2,1,0))</f>
        <v>1</v>
      </c>
      <c r="C112">
        <f>IF(OR($BA3="Any",$BA3=""),1,IF('All Data'!$D112=$BA3,1,0))</f>
        <v>1</v>
      </c>
      <c r="D112">
        <f>IF(OR($BA4="Any",$BA4=""),1,IF('All Data'!$E112=$BA4,1,0))</f>
        <v>1</v>
      </c>
      <c r="E112">
        <f>IF(OR($BA5="Any",$BA5=""),1,IF('All Data'!$F112=$BA5,1,0))</f>
        <v>1</v>
      </c>
      <c r="F112">
        <f>IF(OR($BA6="Any",$BA6=""),1,IF('All Data'!$G112=$BA6,1,0))</f>
        <v>0</v>
      </c>
      <c r="G112">
        <f>IF(AND(OR($BA$8="",ISNUMBER(SEARCH($BA$8,'All Data'!$K112&amp;" "&amp;'All Data'!$M112))),OR($BA$9="",ISNUMBER(SEARCH($BA$9,'All Data'!$K112&amp;" "&amp;'All Data'!$M112))),OR($BA$10="",ISNUMBER(SEARCH($BA$10,'All Data'!$K112&amp;" "&amp;'All Data'!$M112))),OR($BA$11="",ISNUMBER(SEARCH($BA$11,'All Data'!$K112&amp;" "&amp;'All Data'!$M112))),OR($BA$12="",ISNUMBER(SEARCH($BA$12,'All Data'!$K112&amp;" "&amp;'All Data'!$M112))),OR($BA$13="",ISNUMBER(SEARCH($BA$13,'All Data'!$K112&amp;" "&amp;'All Data'!$M112))),OR($BA$14="",ISNUMBER(SEARCH($BA$14,'All Data'!$K112&amp;" "&amp;'All Data'!$M112))),OR($BA$15="",ISNUMBER(SEARCH($BA$15,'All Data'!$K112&amp;" "&amp;'All Data'!$M112)))),1,0)</f>
        <v>1</v>
      </c>
      <c r="H112">
        <f t="shared" si="6"/>
        <v>1</v>
      </c>
      <c r="I112">
        <f>IF(AND($H112=1,'All Data'!$C112&lt;&gt;"",COUNTIFS($H$2:H111,1,'All Data'!$C$2:$C111,'All Data'!$C112)=0),1,0)</f>
        <v>0</v>
      </c>
      <c r="J112" t="str">
        <f>IF($I112=1,SUM($I$2:I112),"")</f>
        <v/>
      </c>
      <c r="K112">
        <f t="shared" si="7"/>
        <v>1</v>
      </c>
      <c r="L112">
        <f>IF(AND($K112=1,'All Data'!$D112&lt;&gt;"",COUNTIFS($K$2:K111,1,'All Data'!$D$2:$D111,'All Data'!$D112)=0),1,0)</f>
        <v>0</v>
      </c>
      <c r="M112" t="str">
        <f>IF($L112=1,SUM($L$2:L112),"")</f>
        <v/>
      </c>
      <c r="N112">
        <f t="shared" si="8"/>
        <v>1</v>
      </c>
      <c r="O112">
        <f>IF(AND($N112=1,'All Data'!$E112&lt;&gt;"",COUNTIFS($N$2:N111,1,'All Data'!$E$2:$E111,'All Data'!$E112)=0),1,0)</f>
        <v>0</v>
      </c>
      <c r="P112" t="str">
        <f>IF($O112=1,SUM($O$2:O112),"")</f>
        <v/>
      </c>
      <c r="Q112">
        <f t="shared" si="9"/>
        <v>1</v>
      </c>
      <c r="R112">
        <f>IF(AND($Q112=1,'All Data'!$F112&lt;&gt;"",COUNTIFS($Q$2:Q111,1,'All Data'!$F$2:$F111,'All Data'!$F112)=0),1,0)</f>
        <v>0</v>
      </c>
      <c r="S112" t="str">
        <f>IF($R112=1,SUM($R$2:R112),"")</f>
        <v/>
      </c>
      <c r="T112">
        <f t="shared" si="10"/>
        <v>1</v>
      </c>
      <c r="U112">
        <f>IF(AND($T112=1,'All Data'!$G112&lt;&gt;"",COUNTIFS($T$2:T111,1,'All Data'!$G$2:$G111,'All Data'!$G112)=0),1,0)</f>
        <v>1</v>
      </c>
      <c r="V112">
        <f>IF($U112=1,SUM($U$2:U112),"")</f>
        <v>46</v>
      </c>
      <c r="W112">
        <f t="shared" si="11"/>
        <v>0</v>
      </c>
      <c r="X112" t="str">
        <f>IF($W112=1,SUM($W$2:W112),"")</f>
        <v/>
      </c>
      <c r="Z112" t="str">
        <f>IFERROR(INDEX('All Data'!$C$2:$C$419,MATCH(110,$J$2:$J$419,0))&amp;"","")</f>
        <v/>
      </c>
      <c r="AB112" t="str">
        <f>IFERROR(INDEX('All Data'!$D$2:$D$419,MATCH(110,$M$2:$M$419,0))&amp;"","")</f>
        <v/>
      </c>
      <c r="AD112" t="str">
        <f>IFERROR(INDEX('All Data'!$E$2:$E$419,MATCH(110,$P$2:$P$419,0))&amp;"","")</f>
        <v/>
      </c>
      <c r="AF112" t="str">
        <f>IFERROR(INDEX('All Data'!$F$2:$F$419,MATCH(110,$S$2:$S$419,0))&amp;"","")</f>
        <v/>
      </c>
      <c r="AH112" t="str">
        <f>IFERROR(INDEX('All Data'!$G$2:$G$419,MATCH(110,$V$2:$V$419,0))&amp;"","")</f>
        <v/>
      </c>
    </row>
    <row r="113" spans="1:34" x14ac:dyDescent="0.3">
      <c r="A113">
        <f>IF(OR($BA1="Any",$BA1=""),1,IF('All Data'!$B113=$BA1,1,0))</f>
        <v>1</v>
      </c>
      <c r="B113">
        <f>IF(OR($BA2="Any",$BA2=""),1,IF('All Data'!$C113=$BA2,1,0))</f>
        <v>1</v>
      </c>
      <c r="C113">
        <f>IF(OR($BA3="Any",$BA3=""),1,IF('All Data'!$D113=$BA3,1,0))</f>
        <v>1</v>
      </c>
      <c r="D113">
        <f>IF(OR($BA4="Any",$BA4=""),1,IF('All Data'!$E113=$BA4,1,0))</f>
        <v>1</v>
      </c>
      <c r="E113">
        <f>IF(OR($BA5="Any",$BA5=""),1,IF('All Data'!$F113=$BA5,1,0))</f>
        <v>1</v>
      </c>
      <c r="F113">
        <f>IF(OR($BA6="Any",$BA6=""),1,IF('All Data'!$G113=$BA6,1,0))</f>
        <v>0</v>
      </c>
      <c r="G113">
        <f>IF(AND(OR($BA$8="",ISNUMBER(SEARCH($BA$8,'All Data'!$K113&amp;" "&amp;'All Data'!$M113))),OR($BA$9="",ISNUMBER(SEARCH($BA$9,'All Data'!$K113&amp;" "&amp;'All Data'!$M113))),OR($BA$10="",ISNUMBER(SEARCH($BA$10,'All Data'!$K113&amp;" "&amp;'All Data'!$M113))),OR($BA$11="",ISNUMBER(SEARCH($BA$11,'All Data'!$K113&amp;" "&amp;'All Data'!$M113))),OR($BA$12="",ISNUMBER(SEARCH($BA$12,'All Data'!$K113&amp;" "&amp;'All Data'!$M113))),OR($BA$13="",ISNUMBER(SEARCH($BA$13,'All Data'!$K113&amp;" "&amp;'All Data'!$M113))),OR($BA$14="",ISNUMBER(SEARCH($BA$14,'All Data'!$K113&amp;" "&amp;'All Data'!$M113))),OR($BA$15="",ISNUMBER(SEARCH($BA$15,'All Data'!$K113&amp;" "&amp;'All Data'!$M113)))),1,0)</f>
        <v>1</v>
      </c>
      <c r="H113">
        <f t="shared" si="6"/>
        <v>1</v>
      </c>
      <c r="I113">
        <f>IF(AND($H113=1,'All Data'!$C113&lt;&gt;"",COUNTIFS($H$2:H112,1,'All Data'!$C$2:$C112,'All Data'!$C113)=0),1,0)</f>
        <v>0</v>
      </c>
      <c r="J113" t="str">
        <f>IF($I113=1,SUM($I$2:I113),"")</f>
        <v/>
      </c>
      <c r="K113">
        <f t="shared" si="7"/>
        <v>1</v>
      </c>
      <c r="L113">
        <f>IF(AND($K113=1,'All Data'!$D113&lt;&gt;"",COUNTIFS($K$2:K112,1,'All Data'!$D$2:$D112,'All Data'!$D113)=0),1,0)</f>
        <v>0</v>
      </c>
      <c r="M113" t="str">
        <f>IF($L113=1,SUM($L$2:L113),"")</f>
        <v/>
      </c>
      <c r="N113">
        <f t="shared" si="8"/>
        <v>1</v>
      </c>
      <c r="O113">
        <f>IF(AND($N113=1,'All Data'!$E113&lt;&gt;"",COUNTIFS($N$2:N112,1,'All Data'!$E$2:$E112,'All Data'!$E113)=0),1,0)</f>
        <v>0</v>
      </c>
      <c r="P113" t="str">
        <f>IF($O113=1,SUM($O$2:O113),"")</f>
        <v/>
      </c>
      <c r="Q113">
        <f t="shared" si="9"/>
        <v>1</v>
      </c>
      <c r="R113">
        <f>IF(AND($Q113=1,'All Data'!$F113&lt;&gt;"",COUNTIFS($Q$2:Q112,1,'All Data'!$F$2:$F112,'All Data'!$F113)=0),1,0)</f>
        <v>0</v>
      </c>
      <c r="S113" t="str">
        <f>IF($R113=1,SUM($R$2:R113),"")</f>
        <v/>
      </c>
      <c r="T113">
        <f t="shared" si="10"/>
        <v>1</v>
      </c>
      <c r="U113">
        <f>IF(AND($T113=1,'All Data'!$G113&lt;&gt;"",COUNTIFS($T$2:T112,1,'All Data'!$G$2:$G112,'All Data'!$G113)=0),1,0)</f>
        <v>1</v>
      </c>
      <c r="V113">
        <f>IF($U113=1,SUM($U$2:U113),"")</f>
        <v>47</v>
      </c>
      <c r="W113">
        <f t="shared" si="11"/>
        <v>0</v>
      </c>
      <c r="X113" t="str">
        <f>IF($W113=1,SUM($W$2:W113),"")</f>
        <v/>
      </c>
      <c r="Z113" t="str">
        <f>IFERROR(INDEX('All Data'!$C$2:$C$419,MATCH(111,$J$2:$J$419,0))&amp;"","")</f>
        <v/>
      </c>
      <c r="AB113" t="str">
        <f>IFERROR(INDEX('All Data'!$D$2:$D$419,MATCH(111,$M$2:$M$419,0))&amp;"","")</f>
        <v/>
      </c>
      <c r="AD113" t="str">
        <f>IFERROR(INDEX('All Data'!$E$2:$E$419,MATCH(111,$P$2:$P$419,0))&amp;"","")</f>
        <v/>
      </c>
      <c r="AF113" t="str">
        <f>IFERROR(INDEX('All Data'!$F$2:$F$419,MATCH(111,$S$2:$S$419,0))&amp;"","")</f>
        <v/>
      </c>
      <c r="AH113" t="str">
        <f>IFERROR(INDEX('All Data'!$G$2:$G$419,MATCH(111,$V$2:$V$419,0))&amp;"","")</f>
        <v/>
      </c>
    </row>
    <row r="114" spans="1:34" x14ac:dyDescent="0.3">
      <c r="A114">
        <f>IF(OR($BA1="Any",$BA1=""),1,IF('All Data'!$B114=$BA1,1,0))</f>
        <v>1</v>
      </c>
      <c r="B114">
        <f>IF(OR($BA2="Any",$BA2=""),1,IF('All Data'!$C114=$BA2,1,0))</f>
        <v>1</v>
      </c>
      <c r="C114">
        <f>IF(OR($BA3="Any",$BA3=""),1,IF('All Data'!$D114=$BA3,1,0))</f>
        <v>1</v>
      </c>
      <c r="D114">
        <f>IF(OR($BA4="Any",$BA4=""),1,IF('All Data'!$E114=$BA4,1,0))</f>
        <v>1</v>
      </c>
      <c r="E114">
        <f>IF(OR($BA5="Any",$BA5=""),1,IF('All Data'!$F114=$BA5,1,0))</f>
        <v>1</v>
      </c>
      <c r="F114">
        <f>IF(OR($BA6="Any",$BA6=""),1,IF('All Data'!$G114=$BA6,1,0))</f>
        <v>0</v>
      </c>
      <c r="G114">
        <f>IF(AND(OR($BA$8="",ISNUMBER(SEARCH($BA$8,'All Data'!$K114&amp;" "&amp;'All Data'!$M114))),OR($BA$9="",ISNUMBER(SEARCH($BA$9,'All Data'!$K114&amp;" "&amp;'All Data'!$M114))),OR($BA$10="",ISNUMBER(SEARCH($BA$10,'All Data'!$K114&amp;" "&amp;'All Data'!$M114))),OR($BA$11="",ISNUMBER(SEARCH($BA$11,'All Data'!$K114&amp;" "&amp;'All Data'!$M114))),OR($BA$12="",ISNUMBER(SEARCH($BA$12,'All Data'!$K114&amp;" "&amp;'All Data'!$M114))),OR($BA$13="",ISNUMBER(SEARCH($BA$13,'All Data'!$K114&amp;" "&amp;'All Data'!$M114))),OR($BA$14="",ISNUMBER(SEARCH($BA$14,'All Data'!$K114&amp;" "&amp;'All Data'!$M114))),OR($BA$15="",ISNUMBER(SEARCH($BA$15,'All Data'!$K114&amp;" "&amp;'All Data'!$M114)))),1,0)</f>
        <v>1</v>
      </c>
      <c r="H114">
        <f t="shared" si="6"/>
        <v>1</v>
      </c>
      <c r="I114">
        <f>IF(AND($H114=1,'All Data'!$C114&lt;&gt;"",COUNTIFS($H$2:H113,1,'All Data'!$C$2:$C113,'All Data'!$C114)=0),1,0)</f>
        <v>0</v>
      </c>
      <c r="J114" t="str">
        <f>IF($I114=1,SUM($I$2:I114),"")</f>
        <v/>
      </c>
      <c r="K114">
        <f t="shared" si="7"/>
        <v>1</v>
      </c>
      <c r="L114">
        <f>IF(AND($K114=1,'All Data'!$D114&lt;&gt;"",COUNTIFS($K$2:K113,1,'All Data'!$D$2:$D113,'All Data'!$D114)=0),1,0)</f>
        <v>0</v>
      </c>
      <c r="M114" t="str">
        <f>IF($L114=1,SUM($L$2:L114),"")</f>
        <v/>
      </c>
      <c r="N114">
        <f t="shared" si="8"/>
        <v>1</v>
      </c>
      <c r="O114">
        <f>IF(AND($N114=1,'All Data'!$E114&lt;&gt;"",COUNTIFS($N$2:N113,1,'All Data'!$E$2:$E113,'All Data'!$E114)=0),1,0)</f>
        <v>0</v>
      </c>
      <c r="P114" t="str">
        <f>IF($O114=1,SUM($O$2:O114),"")</f>
        <v/>
      </c>
      <c r="Q114">
        <f t="shared" si="9"/>
        <v>1</v>
      </c>
      <c r="R114">
        <f>IF(AND($Q114=1,'All Data'!$F114&lt;&gt;"",COUNTIFS($Q$2:Q113,1,'All Data'!$F$2:$F113,'All Data'!$F114)=0),1,0)</f>
        <v>0</v>
      </c>
      <c r="S114" t="str">
        <f>IF($R114=1,SUM($R$2:R114),"")</f>
        <v/>
      </c>
      <c r="T114">
        <f t="shared" si="10"/>
        <v>1</v>
      </c>
      <c r="U114">
        <f>IF(AND($T114=1,'All Data'!$G114&lt;&gt;"",COUNTIFS($T$2:T113,1,'All Data'!$G$2:$G113,'All Data'!$G114)=0),1,0)</f>
        <v>1</v>
      </c>
      <c r="V114">
        <f>IF($U114=1,SUM($U$2:U114),"")</f>
        <v>48</v>
      </c>
      <c r="W114">
        <f t="shared" si="11"/>
        <v>0</v>
      </c>
      <c r="X114" t="str">
        <f>IF($W114=1,SUM($W$2:W114),"")</f>
        <v/>
      </c>
      <c r="Z114" t="str">
        <f>IFERROR(INDEX('All Data'!$C$2:$C$419,MATCH(112,$J$2:$J$419,0))&amp;"","")</f>
        <v/>
      </c>
      <c r="AB114" t="str">
        <f>IFERROR(INDEX('All Data'!$D$2:$D$419,MATCH(112,$M$2:$M$419,0))&amp;"","")</f>
        <v/>
      </c>
      <c r="AD114" t="str">
        <f>IFERROR(INDEX('All Data'!$E$2:$E$419,MATCH(112,$P$2:$P$419,0))&amp;"","")</f>
        <v/>
      </c>
      <c r="AF114" t="str">
        <f>IFERROR(INDEX('All Data'!$F$2:$F$419,MATCH(112,$S$2:$S$419,0))&amp;"","")</f>
        <v/>
      </c>
      <c r="AH114" t="str">
        <f>IFERROR(INDEX('All Data'!$G$2:$G$419,MATCH(112,$V$2:$V$419,0))&amp;"","")</f>
        <v/>
      </c>
    </row>
    <row r="115" spans="1:34" x14ac:dyDescent="0.3">
      <c r="A115">
        <f>IF(OR($BA1="Any",$BA1=""),1,IF('All Data'!$B115=$BA1,1,0))</f>
        <v>1</v>
      </c>
      <c r="B115">
        <f>IF(OR($BA2="Any",$BA2=""),1,IF('All Data'!$C115=$BA2,1,0))</f>
        <v>1</v>
      </c>
      <c r="C115">
        <f>IF(OR($BA3="Any",$BA3=""),1,IF('All Data'!$D115=$BA3,1,0))</f>
        <v>1</v>
      </c>
      <c r="D115">
        <f>IF(OR($BA4="Any",$BA4=""),1,IF('All Data'!$E115=$BA4,1,0))</f>
        <v>1</v>
      </c>
      <c r="E115">
        <f>IF(OR($BA5="Any",$BA5=""),1,IF('All Data'!$F115=$BA5,1,0))</f>
        <v>1</v>
      </c>
      <c r="F115">
        <f>IF(OR($BA6="Any",$BA6=""),1,IF('All Data'!$G115=$BA6,1,0))</f>
        <v>0</v>
      </c>
      <c r="G115">
        <f>IF(AND(OR($BA$8="",ISNUMBER(SEARCH($BA$8,'All Data'!$K115&amp;" "&amp;'All Data'!$M115))),OR($BA$9="",ISNUMBER(SEARCH($BA$9,'All Data'!$K115&amp;" "&amp;'All Data'!$M115))),OR($BA$10="",ISNUMBER(SEARCH($BA$10,'All Data'!$K115&amp;" "&amp;'All Data'!$M115))),OR($BA$11="",ISNUMBER(SEARCH($BA$11,'All Data'!$K115&amp;" "&amp;'All Data'!$M115))),OR($BA$12="",ISNUMBER(SEARCH($BA$12,'All Data'!$K115&amp;" "&amp;'All Data'!$M115))),OR($BA$13="",ISNUMBER(SEARCH($BA$13,'All Data'!$K115&amp;" "&amp;'All Data'!$M115))),OR($BA$14="",ISNUMBER(SEARCH($BA$14,'All Data'!$K115&amp;" "&amp;'All Data'!$M115))),OR($BA$15="",ISNUMBER(SEARCH($BA$15,'All Data'!$K115&amp;" "&amp;'All Data'!$M115)))),1,0)</f>
        <v>1</v>
      </c>
      <c r="H115">
        <f t="shared" si="6"/>
        <v>1</v>
      </c>
      <c r="I115">
        <f>IF(AND($H115=1,'All Data'!$C115&lt;&gt;"",COUNTIFS($H$2:H114,1,'All Data'!$C$2:$C114,'All Data'!$C115)=0),1,0)</f>
        <v>0</v>
      </c>
      <c r="J115" t="str">
        <f>IF($I115=1,SUM($I$2:I115),"")</f>
        <v/>
      </c>
      <c r="K115">
        <f t="shared" si="7"/>
        <v>1</v>
      </c>
      <c r="L115">
        <f>IF(AND($K115=1,'All Data'!$D115&lt;&gt;"",COUNTIFS($K$2:K114,1,'All Data'!$D$2:$D114,'All Data'!$D115)=0),1,0)</f>
        <v>0</v>
      </c>
      <c r="M115" t="str">
        <f>IF($L115=1,SUM($L$2:L115),"")</f>
        <v/>
      </c>
      <c r="N115">
        <f t="shared" si="8"/>
        <v>1</v>
      </c>
      <c r="O115">
        <f>IF(AND($N115=1,'All Data'!$E115&lt;&gt;"",COUNTIFS($N$2:N114,1,'All Data'!$E$2:$E114,'All Data'!$E115)=0),1,0)</f>
        <v>0</v>
      </c>
      <c r="P115" t="str">
        <f>IF($O115=1,SUM($O$2:O115),"")</f>
        <v/>
      </c>
      <c r="Q115">
        <f t="shared" si="9"/>
        <v>1</v>
      </c>
      <c r="R115">
        <f>IF(AND($Q115=1,'All Data'!$F115&lt;&gt;"",COUNTIFS($Q$2:Q114,1,'All Data'!$F$2:$F114,'All Data'!$F115)=0),1,0)</f>
        <v>0</v>
      </c>
      <c r="S115" t="str">
        <f>IF($R115=1,SUM($R$2:R115),"")</f>
        <v/>
      </c>
      <c r="T115">
        <f t="shared" si="10"/>
        <v>1</v>
      </c>
      <c r="U115">
        <f>IF(AND($T115=1,'All Data'!$G115&lt;&gt;"",COUNTIFS($T$2:T114,1,'All Data'!$G$2:$G114,'All Data'!$G115)=0),1,0)</f>
        <v>1</v>
      </c>
      <c r="V115">
        <f>IF($U115=1,SUM($U$2:U115),"")</f>
        <v>49</v>
      </c>
      <c r="W115">
        <f t="shared" si="11"/>
        <v>0</v>
      </c>
      <c r="X115" t="str">
        <f>IF($W115=1,SUM($W$2:W115),"")</f>
        <v/>
      </c>
      <c r="Z115" t="str">
        <f>IFERROR(INDEX('All Data'!$C$2:$C$419,MATCH(113,$J$2:$J$419,0))&amp;"","")</f>
        <v/>
      </c>
      <c r="AB115" t="str">
        <f>IFERROR(INDEX('All Data'!$D$2:$D$419,MATCH(113,$M$2:$M$419,0))&amp;"","")</f>
        <v/>
      </c>
      <c r="AD115" t="str">
        <f>IFERROR(INDEX('All Data'!$E$2:$E$419,MATCH(113,$P$2:$P$419,0))&amp;"","")</f>
        <v/>
      </c>
      <c r="AF115" t="str">
        <f>IFERROR(INDEX('All Data'!$F$2:$F$419,MATCH(113,$S$2:$S$419,0))&amp;"","")</f>
        <v/>
      </c>
      <c r="AH115" t="str">
        <f>IFERROR(INDEX('All Data'!$G$2:$G$419,MATCH(113,$V$2:$V$419,0))&amp;"","")</f>
        <v/>
      </c>
    </row>
    <row r="116" spans="1:34" x14ac:dyDescent="0.3">
      <c r="A116">
        <f>IF(OR($BA1="Any",$BA1=""),1,IF('All Data'!$B116=$BA1,1,0))</f>
        <v>1</v>
      </c>
      <c r="B116">
        <f>IF(OR($BA2="Any",$BA2=""),1,IF('All Data'!$C116=$BA2,1,0))</f>
        <v>1</v>
      </c>
      <c r="C116">
        <f>IF(OR($BA3="Any",$BA3=""),1,IF('All Data'!$D116=$BA3,1,0))</f>
        <v>1</v>
      </c>
      <c r="D116">
        <f>IF(OR($BA4="Any",$BA4=""),1,IF('All Data'!$E116=$BA4,1,0))</f>
        <v>1</v>
      </c>
      <c r="E116">
        <f>IF(OR($BA5="Any",$BA5=""),1,IF('All Data'!$F116=$BA5,1,0))</f>
        <v>1</v>
      </c>
      <c r="F116">
        <f>IF(OR($BA6="Any",$BA6=""),1,IF('All Data'!$G116=$BA6,1,0))</f>
        <v>0</v>
      </c>
      <c r="G116">
        <f>IF(AND(OR($BA$8="",ISNUMBER(SEARCH($BA$8,'All Data'!$K116&amp;" "&amp;'All Data'!$M116))),OR($BA$9="",ISNUMBER(SEARCH($BA$9,'All Data'!$K116&amp;" "&amp;'All Data'!$M116))),OR($BA$10="",ISNUMBER(SEARCH($BA$10,'All Data'!$K116&amp;" "&amp;'All Data'!$M116))),OR($BA$11="",ISNUMBER(SEARCH($BA$11,'All Data'!$K116&amp;" "&amp;'All Data'!$M116))),OR($BA$12="",ISNUMBER(SEARCH($BA$12,'All Data'!$K116&amp;" "&amp;'All Data'!$M116))),OR($BA$13="",ISNUMBER(SEARCH($BA$13,'All Data'!$K116&amp;" "&amp;'All Data'!$M116))),OR($BA$14="",ISNUMBER(SEARCH($BA$14,'All Data'!$K116&amp;" "&amp;'All Data'!$M116))),OR($BA$15="",ISNUMBER(SEARCH($BA$15,'All Data'!$K116&amp;" "&amp;'All Data'!$M116)))),1,0)</f>
        <v>1</v>
      </c>
      <c r="H116">
        <f t="shared" si="6"/>
        <v>1</v>
      </c>
      <c r="I116">
        <f>IF(AND($H116=1,'All Data'!$C116&lt;&gt;"",COUNTIFS($H$2:H115,1,'All Data'!$C$2:$C115,'All Data'!$C116)=0),1,0)</f>
        <v>0</v>
      </c>
      <c r="J116" t="str">
        <f>IF($I116=1,SUM($I$2:I116),"")</f>
        <v/>
      </c>
      <c r="K116">
        <f t="shared" si="7"/>
        <v>1</v>
      </c>
      <c r="L116">
        <f>IF(AND($K116=1,'All Data'!$D116&lt;&gt;"",COUNTIFS($K$2:K115,1,'All Data'!$D$2:$D115,'All Data'!$D116)=0),1,0)</f>
        <v>1</v>
      </c>
      <c r="M116">
        <f>IF($L116=1,SUM($L$2:L116),"")</f>
        <v>26</v>
      </c>
      <c r="N116">
        <f t="shared" si="8"/>
        <v>1</v>
      </c>
      <c r="O116">
        <f>IF(AND($N116=1,'All Data'!$E116&lt;&gt;"",COUNTIFS($N$2:N115,1,'All Data'!$E$2:$E115,'All Data'!$E116)=0),1,0)</f>
        <v>0</v>
      </c>
      <c r="P116" t="str">
        <f>IF($O116=1,SUM($O$2:O116),"")</f>
        <v/>
      </c>
      <c r="Q116">
        <f t="shared" si="9"/>
        <v>1</v>
      </c>
      <c r="R116">
        <f>IF(AND($Q116=1,'All Data'!$F116&lt;&gt;"",COUNTIFS($Q$2:Q115,1,'All Data'!$F$2:$F115,'All Data'!$F116)=0),1,0)</f>
        <v>0</v>
      </c>
      <c r="S116" t="str">
        <f>IF($R116=1,SUM($R$2:R116),"")</f>
        <v/>
      </c>
      <c r="T116">
        <f t="shared" si="10"/>
        <v>1</v>
      </c>
      <c r="U116">
        <f>IF(AND($T116=1,'All Data'!$G116&lt;&gt;"",COUNTIFS($T$2:T115,1,'All Data'!$G$2:$G115,'All Data'!$G116)=0),1,0)</f>
        <v>0</v>
      </c>
      <c r="V116" t="str">
        <f>IF($U116=1,SUM($U$2:U116),"")</f>
        <v/>
      </c>
      <c r="W116">
        <f t="shared" si="11"/>
        <v>0</v>
      </c>
      <c r="X116" t="str">
        <f>IF($W116=1,SUM($W$2:W116),"")</f>
        <v/>
      </c>
      <c r="Z116" t="str">
        <f>IFERROR(INDEX('All Data'!$C$2:$C$419,MATCH(114,$J$2:$J$419,0))&amp;"","")</f>
        <v/>
      </c>
      <c r="AB116" t="str">
        <f>IFERROR(INDEX('All Data'!$D$2:$D$419,MATCH(114,$M$2:$M$419,0))&amp;"","")</f>
        <v/>
      </c>
      <c r="AD116" t="str">
        <f>IFERROR(INDEX('All Data'!$E$2:$E$419,MATCH(114,$P$2:$P$419,0))&amp;"","")</f>
        <v/>
      </c>
      <c r="AF116" t="str">
        <f>IFERROR(INDEX('All Data'!$F$2:$F$419,MATCH(114,$S$2:$S$419,0))&amp;"","")</f>
        <v/>
      </c>
      <c r="AH116" t="str">
        <f>IFERROR(INDEX('All Data'!$G$2:$G$419,MATCH(114,$V$2:$V$419,0))&amp;"","")</f>
        <v/>
      </c>
    </row>
    <row r="117" spans="1:34" x14ac:dyDescent="0.3">
      <c r="A117">
        <f>IF(OR($BA1="Any",$BA1=""),1,IF('All Data'!$B117=$BA1,1,0))</f>
        <v>1</v>
      </c>
      <c r="B117">
        <f>IF(OR($BA2="Any",$BA2=""),1,IF('All Data'!$C117=$BA2,1,0))</f>
        <v>1</v>
      </c>
      <c r="C117">
        <f>IF(OR($BA3="Any",$BA3=""),1,IF('All Data'!$D117=$BA3,1,0))</f>
        <v>1</v>
      </c>
      <c r="D117">
        <f>IF(OR($BA4="Any",$BA4=""),1,IF('All Data'!$E117=$BA4,1,0))</f>
        <v>1</v>
      </c>
      <c r="E117">
        <f>IF(OR($BA5="Any",$BA5=""),1,IF('All Data'!$F117=$BA5,1,0))</f>
        <v>1</v>
      </c>
      <c r="F117">
        <f>IF(OR($BA6="Any",$BA6=""),1,IF('All Data'!$G117=$BA6,1,0))</f>
        <v>0</v>
      </c>
      <c r="G117">
        <f>IF(AND(OR($BA$8="",ISNUMBER(SEARCH($BA$8,'All Data'!$K117&amp;" "&amp;'All Data'!$M117))),OR($BA$9="",ISNUMBER(SEARCH($BA$9,'All Data'!$K117&amp;" "&amp;'All Data'!$M117))),OR($BA$10="",ISNUMBER(SEARCH($BA$10,'All Data'!$K117&amp;" "&amp;'All Data'!$M117))),OR($BA$11="",ISNUMBER(SEARCH($BA$11,'All Data'!$K117&amp;" "&amp;'All Data'!$M117))),OR($BA$12="",ISNUMBER(SEARCH($BA$12,'All Data'!$K117&amp;" "&amp;'All Data'!$M117))),OR($BA$13="",ISNUMBER(SEARCH($BA$13,'All Data'!$K117&amp;" "&amp;'All Data'!$M117))),OR($BA$14="",ISNUMBER(SEARCH($BA$14,'All Data'!$K117&amp;" "&amp;'All Data'!$M117))),OR($BA$15="",ISNUMBER(SEARCH($BA$15,'All Data'!$K117&amp;" "&amp;'All Data'!$M117)))),1,0)</f>
        <v>1</v>
      </c>
      <c r="H117">
        <f t="shared" si="6"/>
        <v>1</v>
      </c>
      <c r="I117">
        <f>IF(AND($H117=1,'All Data'!$C117&lt;&gt;"",COUNTIFS($H$2:H116,1,'All Data'!$C$2:$C116,'All Data'!$C117)=0),1,0)</f>
        <v>0</v>
      </c>
      <c r="J117" t="str">
        <f>IF($I117=1,SUM($I$2:I117),"")</f>
        <v/>
      </c>
      <c r="K117">
        <f t="shared" si="7"/>
        <v>1</v>
      </c>
      <c r="L117">
        <f>IF(AND($K117=1,'All Data'!$D117&lt;&gt;"",COUNTIFS($K$2:K116,1,'All Data'!$D$2:$D116,'All Data'!$D117)=0),1,0)</f>
        <v>1</v>
      </c>
      <c r="M117">
        <f>IF($L117=1,SUM($L$2:L117),"")</f>
        <v>27</v>
      </c>
      <c r="N117">
        <f t="shared" si="8"/>
        <v>1</v>
      </c>
      <c r="O117">
        <f>IF(AND($N117=1,'All Data'!$E117&lt;&gt;"",COUNTIFS($N$2:N116,1,'All Data'!$E$2:$E116,'All Data'!$E117)=0),1,0)</f>
        <v>0</v>
      </c>
      <c r="P117" t="str">
        <f>IF($O117=1,SUM($O$2:O117),"")</f>
        <v/>
      </c>
      <c r="Q117">
        <f t="shared" si="9"/>
        <v>1</v>
      </c>
      <c r="R117">
        <f>IF(AND($Q117=1,'All Data'!$F117&lt;&gt;"",COUNTIFS($Q$2:Q116,1,'All Data'!$F$2:$F116,'All Data'!$F117)=0),1,0)</f>
        <v>0</v>
      </c>
      <c r="S117" t="str">
        <f>IF($R117=1,SUM($R$2:R117),"")</f>
        <v/>
      </c>
      <c r="T117">
        <f t="shared" si="10"/>
        <v>1</v>
      </c>
      <c r="U117">
        <f>IF(AND($T117=1,'All Data'!$G117&lt;&gt;"",COUNTIFS($T$2:T116,1,'All Data'!$G$2:$G116,'All Data'!$G117)=0),1,0)</f>
        <v>1</v>
      </c>
      <c r="V117">
        <f>IF($U117=1,SUM($U$2:U117),"")</f>
        <v>50</v>
      </c>
      <c r="W117">
        <f t="shared" si="11"/>
        <v>0</v>
      </c>
      <c r="X117" t="str">
        <f>IF($W117=1,SUM($W$2:W117),"")</f>
        <v/>
      </c>
      <c r="Z117" t="str">
        <f>IFERROR(INDEX('All Data'!$C$2:$C$419,MATCH(115,$J$2:$J$419,0))&amp;"","")</f>
        <v/>
      </c>
      <c r="AB117" t="str">
        <f>IFERROR(INDEX('All Data'!$D$2:$D$419,MATCH(115,$M$2:$M$419,0))&amp;"","")</f>
        <v/>
      </c>
      <c r="AD117" t="str">
        <f>IFERROR(INDEX('All Data'!$E$2:$E$419,MATCH(115,$P$2:$P$419,0))&amp;"","")</f>
        <v/>
      </c>
      <c r="AF117" t="str">
        <f>IFERROR(INDEX('All Data'!$F$2:$F$419,MATCH(115,$S$2:$S$419,0))&amp;"","")</f>
        <v/>
      </c>
      <c r="AH117" t="str">
        <f>IFERROR(INDEX('All Data'!$G$2:$G$419,MATCH(115,$V$2:$V$419,0))&amp;"","")</f>
        <v/>
      </c>
    </row>
    <row r="118" spans="1:34" x14ac:dyDescent="0.3">
      <c r="A118">
        <f>IF(OR($BA1="Any",$BA1=""),1,IF('All Data'!$B118=$BA1,1,0))</f>
        <v>1</v>
      </c>
      <c r="B118">
        <f>IF(OR($BA2="Any",$BA2=""),1,IF('All Data'!$C118=$BA2,1,0))</f>
        <v>1</v>
      </c>
      <c r="C118">
        <f>IF(OR($BA3="Any",$BA3=""),1,IF('All Data'!$D118=$BA3,1,0))</f>
        <v>1</v>
      </c>
      <c r="D118">
        <f>IF(OR($BA4="Any",$BA4=""),1,IF('All Data'!$E118=$BA4,1,0))</f>
        <v>1</v>
      </c>
      <c r="E118">
        <f>IF(OR($BA5="Any",$BA5=""),1,IF('All Data'!$F118=$BA5,1,0))</f>
        <v>1</v>
      </c>
      <c r="F118">
        <f>IF(OR($BA6="Any",$BA6=""),1,IF('All Data'!$G118=$BA6,1,0))</f>
        <v>1</v>
      </c>
      <c r="G118">
        <f>IF(AND(OR($BA$8="",ISNUMBER(SEARCH($BA$8,'All Data'!$K118&amp;" "&amp;'All Data'!$M118))),OR($BA$9="",ISNUMBER(SEARCH($BA$9,'All Data'!$K118&amp;" "&amp;'All Data'!$M118))),OR($BA$10="",ISNUMBER(SEARCH($BA$10,'All Data'!$K118&amp;" "&amp;'All Data'!$M118))),OR($BA$11="",ISNUMBER(SEARCH($BA$11,'All Data'!$K118&amp;" "&amp;'All Data'!$M118))),OR($BA$12="",ISNUMBER(SEARCH($BA$12,'All Data'!$K118&amp;" "&amp;'All Data'!$M118))),OR($BA$13="",ISNUMBER(SEARCH($BA$13,'All Data'!$K118&amp;" "&amp;'All Data'!$M118))),OR($BA$14="",ISNUMBER(SEARCH($BA$14,'All Data'!$K118&amp;" "&amp;'All Data'!$M118))),OR($BA$15="",ISNUMBER(SEARCH($BA$15,'All Data'!$K118&amp;" "&amp;'All Data'!$M118)))),1,0)</f>
        <v>1</v>
      </c>
      <c r="H118">
        <f t="shared" si="6"/>
        <v>1</v>
      </c>
      <c r="I118">
        <f>IF(AND($H118=1,'All Data'!$C118&lt;&gt;"",COUNTIFS($H$2:H117,1,'All Data'!$C$2:$C117,'All Data'!$C118)=0),1,0)</f>
        <v>0</v>
      </c>
      <c r="J118" t="str">
        <f>IF($I118=1,SUM($I$2:I118),"")</f>
        <v/>
      </c>
      <c r="K118">
        <f t="shared" si="7"/>
        <v>1</v>
      </c>
      <c r="L118">
        <f>IF(AND($K118=1,'All Data'!$D118&lt;&gt;"",COUNTIFS($K$2:K117,1,'All Data'!$D$2:$D117,'All Data'!$D118)=0),1,0)</f>
        <v>0</v>
      </c>
      <c r="M118" t="str">
        <f>IF($L118=1,SUM($L$2:L118),"")</f>
        <v/>
      </c>
      <c r="N118">
        <f t="shared" si="8"/>
        <v>1</v>
      </c>
      <c r="O118">
        <f>IF(AND($N118=1,'All Data'!$E118&lt;&gt;"",COUNTIFS($N$2:N117,1,'All Data'!$E$2:$E117,'All Data'!$E118)=0),1,0)</f>
        <v>0</v>
      </c>
      <c r="P118" t="str">
        <f>IF($O118=1,SUM($O$2:O118),"")</f>
        <v/>
      </c>
      <c r="Q118">
        <f t="shared" si="9"/>
        <v>1</v>
      </c>
      <c r="R118">
        <f>IF(AND($Q118=1,'All Data'!$F118&lt;&gt;"",COUNTIFS($Q$2:Q117,1,'All Data'!$F$2:$F117,'All Data'!$F118)=0),1,0)</f>
        <v>0</v>
      </c>
      <c r="S118" t="str">
        <f>IF($R118=1,SUM($R$2:R118),"")</f>
        <v/>
      </c>
      <c r="T118">
        <f t="shared" si="10"/>
        <v>1</v>
      </c>
      <c r="U118">
        <f>IF(AND($T118=1,'All Data'!$G118&lt;&gt;"",COUNTIFS($T$2:T117,1,'All Data'!$G$2:$G117,'All Data'!$G118)=0),1,0)</f>
        <v>0</v>
      </c>
      <c r="V118" t="str">
        <f>IF($U118=1,SUM($U$2:U118),"")</f>
        <v/>
      </c>
      <c r="W118">
        <f t="shared" si="11"/>
        <v>1</v>
      </c>
      <c r="X118">
        <f>IF($W118=1,SUM($W$2:W118),"")</f>
        <v>5</v>
      </c>
      <c r="Z118" t="str">
        <f>IFERROR(INDEX('All Data'!$C$2:$C$419,MATCH(116,$J$2:$J$419,0))&amp;"","")</f>
        <v/>
      </c>
      <c r="AB118" t="str">
        <f>IFERROR(INDEX('All Data'!$D$2:$D$419,MATCH(116,$M$2:$M$419,0))&amp;"","")</f>
        <v/>
      </c>
      <c r="AD118" t="str">
        <f>IFERROR(INDEX('All Data'!$E$2:$E$419,MATCH(116,$P$2:$P$419,0))&amp;"","")</f>
        <v/>
      </c>
      <c r="AF118" t="str">
        <f>IFERROR(INDEX('All Data'!$F$2:$F$419,MATCH(116,$S$2:$S$419,0))&amp;"","")</f>
        <v/>
      </c>
      <c r="AH118" t="str">
        <f>IFERROR(INDEX('All Data'!$G$2:$G$419,MATCH(116,$V$2:$V$419,0))&amp;"","")</f>
        <v/>
      </c>
    </row>
    <row r="119" spans="1:34" x14ac:dyDescent="0.3">
      <c r="A119">
        <f>IF(OR($BA1="Any",$BA1=""),1,IF('All Data'!$B119=$BA1,1,0))</f>
        <v>1</v>
      </c>
      <c r="B119">
        <f>IF(OR($BA2="Any",$BA2=""),1,IF('All Data'!$C119=$BA2,1,0))</f>
        <v>1</v>
      </c>
      <c r="C119">
        <f>IF(OR($BA3="Any",$BA3=""),1,IF('All Data'!$D119=$BA3,1,0))</f>
        <v>1</v>
      </c>
      <c r="D119">
        <f>IF(OR($BA4="Any",$BA4=""),1,IF('All Data'!$E119=$BA4,1,0))</f>
        <v>1</v>
      </c>
      <c r="E119">
        <f>IF(OR($BA5="Any",$BA5=""),1,IF('All Data'!$F119=$BA5,1,0))</f>
        <v>1</v>
      </c>
      <c r="F119">
        <f>IF(OR($BA6="Any",$BA6=""),1,IF('All Data'!$G119=$BA6,1,0))</f>
        <v>0</v>
      </c>
      <c r="G119">
        <f>IF(AND(OR($BA$8="",ISNUMBER(SEARCH($BA$8,'All Data'!$K119&amp;" "&amp;'All Data'!$M119))),OR($BA$9="",ISNUMBER(SEARCH($BA$9,'All Data'!$K119&amp;" "&amp;'All Data'!$M119))),OR($BA$10="",ISNUMBER(SEARCH($BA$10,'All Data'!$K119&amp;" "&amp;'All Data'!$M119))),OR($BA$11="",ISNUMBER(SEARCH($BA$11,'All Data'!$K119&amp;" "&amp;'All Data'!$M119))),OR($BA$12="",ISNUMBER(SEARCH($BA$12,'All Data'!$K119&amp;" "&amp;'All Data'!$M119))),OR($BA$13="",ISNUMBER(SEARCH($BA$13,'All Data'!$K119&amp;" "&amp;'All Data'!$M119))),OR($BA$14="",ISNUMBER(SEARCH($BA$14,'All Data'!$K119&amp;" "&amp;'All Data'!$M119))),OR($BA$15="",ISNUMBER(SEARCH($BA$15,'All Data'!$K119&amp;" "&amp;'All Data'!$M119)))),1,0)</f>
        <v>1</v>
      </c>
      <c r="H119">
        <f t="shared" si="6"/>
        <v>1</v>
      </c>
      <c r="I119">
        <f>IF(AND($H119=1,'All Data'!$C119&lt;&gt;"",COUNTIFS($H$2:H118,1,'All Data'!$C$2:$C118,'All Data'!$C119)=0),1,0)</f>
        <v>0</v>
      </c>
      <c r="J119" t="str">
        <f>IF($I119=1,SUM($I$2:I119),"")</f>
        <v/>
      </c>
      <c r="K119">
        <f t="shared" si="7"/>
        <v>1</v>
      </c>
      <c r="L119">
        <f>IF(AND($K119=1,'All Data'!$D119&lt;&gt;"",COUNTIFS($K$2:K118,1,'All Data'!$D$2:$D118,'All Data'!$D119)=0),1,0)</f>
        <v>0</v>
      </c>
      <c r="M119" t="str">
        <f>IF($L119=1,SUM($L$2:L119),"")</f>
        <v/>
      </c>
      <c r="N119">
        <f t="shared" si="8"/>
        <v>1</v>
      </c>
      <c r="O119">
        <f>IF(AND($N119=1,'All Data'!$E119&lt;&gt;"",COUNTIFS($N$2:N118,1,'All Data'!$E$2:$E118,'All Data'!$E119)=0),1,0)</f>
        <v>0</v>
      </c>
      <c r="P119" t="str">
        <f>IF($O119=1,SUM($O$2:O119),"")</f>
        <v/>
      </c>
      <c r="Q119">
        <f t="shared" si="9"/>
        <v>1</v>
      </c>
      <c r="R119">
        <f>IF(AND($Q119=1,'All Data'!$F119&lt;&gt;"",COUNTIFS($Q$2:Q118,1,'All Data'!$F$2:$F118,'All Data'!$F119)=0),1,0)</f>
        <v>0</v>
      </c>
      <c r="S119" t="str">
        <f>IF($R119=1,SUM($R$2:R119),"")</f>
        <v/>
      </c>
      <c r="T119">
        <f t="shared" si="10"/>
        <v>1</v>
      </c>
      <c r="U119">
        <f>IF(AND($T119=1,'All Data'!$G119&lt;&gt;"",COUNTIFS($T$2:T118,1,'All Data'!$G$2:$G118,'All Data'!$G119)=0),1,0)</f>
        <v>0</v>
      </c>
      <c r="V119" t="str">
        <f>IF($U119=1,SUM($U$2:U119),"")</f>
        <v/>
      </c>
      <c r="W119">
        <f t="shared" si="11"/>
        <v>0</v>
      </c>
      <c r="X119" t="str">
        <f>IF($W119=1,SUM($W$2:W119),"")</f>
        <v/>
      </c>
      <c r="Z119" t="str">
        <f>IFERROR(INDEX('All Data'!$C$2:$C$419,MATCH(117,$J$2:$J$419,0))&amp;"","")</f>
        <v/>
      </c>
      <c r="AB119" t="str">
        <f>IFERROR(INDEX('All Data'!$D$2:$D$419,MATCH(117,$M$2:$M$419,0))&amp;"","")</f>
        <v/>
      </c>
      <c r="AD119" t="str">
        <f>IFERROR(INDEX('All Data'!$E$2:$E$419,MATCH(117,$P$2:$P$419,0))&amp;"","")</f>
        <v/>
      </c>
      <c r="AF119" t="str">
        <f>IFERROR(INDEX('All Data'!$F$2:$F$419,MATCH(117,$S$2:$S$419,0))&amp;"","")</f>
        <v/>
      </c>
      <c r="AH119" t="str">
        <f>IFERROR(INDEX('All Data'!$G$2:$G$419,MATCH(117,$V$2:$V$419,0))&amp;"","")</f>
        <v/>
      </c>
    </row>
    <row r="120" spans="1:34" x14ac:dyDescent="0.3">
      <c r="A120">
        <f>IF(OR($BA1="Any",$BA1=""),1,IF('All Data'!$B120=$BA1,1,0))</f>
        <v>1</v>
      </c>
      <c r="B120">
        <f>IF(OR($BA2="Any",$BA2=""),1,IF('All Data'!$C120=$BA2,1,0))</f>
        <v>1</v>
      </c>
      <c r="C120">
        <f>IF(OR($BA3="Any",$BA3=""),1,IF('All Data'!$D120=$BA3,1,0))</f>
        <v>1</v>
      </c>
      <c r="D120">
        <f>IF(OR($BA4="Any",$BA4=""),1,IF('All Data'!$E120=$BA4,1,0))</f>
        <v>1</v>
      </c>
      <c r="E120">
        <f>IF(OR($BA5="Any",$BA5=""),1,IF('All Data'!$F120=$BA5,1,0))</f>
        <v>1</v>
      </c>
      <c r="F120">
        <f>IF(OR($BA6="Any",$BA6=""),1,IF('All Data'!$G120=$BA6,1,0))</f>
        <v>0</v>
      </c>
      <c r="G120">
        <f>IF(AND(OR($BA$8="",ISNUMBER(SEARCH($BA$8,'All Data'!$K120&amp;" "&amp;'All Data'!$M120))),OR($BA$9="",ISNUMBER(SEARCH($BA$9,'All Data'!$K120&amp;" "&amp;'All Data'!$M120))),OR($BA$10="",ISNUMBER(SEARCH($BA$10,'All Data'!$K120&amp;" "&amp;'All Data'!$M120))),OR($BA$11="",ISNUMBER(SEARCH($BA$11,'All Data'!$K120&amp;" "&amp;'All Data'!$M120))),OR($BA$12="",ISNUMBER(SEARCH($BA$12,'All Data'!$K120&amp;" "&amp;'All Data'!$M120))),OR($BA$13="",ISNUMBER(SEARCH($BA$13,'All Data'!$K120&amp;" "&amp;'All Data'!$M120))),OR($BA$14="",ISNUMBER(SEARCH($BA$14,'All Data'!$K120&amp;" "&amp;'All Data'!$M120))),OR($BA$15="",ISNUMBER(SEARCH($BA$15,'All Data'!$K120&amp;" "&amp;'All Data'!$M120)))),1,0)</f>
        <v>1</v>
      </c>
      <c r="H120">
        <f t="shared" si="6"/>
        <v>1</v>
      </c>
      <c r="I120">
        <f>IF(AND($H120=1,'All Data'!$C120&lt;&gt;"",COUNTIFS($H$2:H119,1,'All Data'!$C$2:$C119,'All Data'!$C120)=0),1,0)</f>
        <v>0</v>
      </c>
      <c r="J120" t="str">
        <f>IF($I120=1,SUM($I$2:I120),"")</f>
        <v/>
      </c>
      <c r="K120">
        <f t="shared" si="7"/>
        <v>1</v>
      </c>
      <c r="L120">
        <f>IF(AND($K120=1,'All Data'!$D120&lt;&gt;"",COUNTIFS($K$2:K119,1,'All Data'!$D$2:$D119,'All Data'!$D120)=0),1,0)</f>
        <v>0</v>
      </c>
      <c r="M120" t="str">
        <f>IF($L120=1,SUM($L$2:L120),"")</f>
        <v/>
      </c>
      <c r="N120">
        <f t="shared" si="8"/>
        <v>1</v>
      </c>
      <c r="O120">
        <f>IF(AND($N120=1,'All Data'!$E120&lt;&gt;"",COUNTIFS($N$2:N119,1,'All Data'!$E$2:$E119,'All Data'!$E120)=0),1,0)</f>
        <v>0</v>
      </c>
      <c r="P120" t="str">
        <f>IF($O120=1,SUM($O$2:O120),"")</f>
        <v/>
      </c>
      <c r="Q120">
        <f t="shared" si="9"/>
        <v>1</v>
      </c>
      <c r="R120">
        <f>IF(AND($Q120=1,'All Data'!$F120&lt;&gt;"",COUNTIFS($Q$2:Q119,1,'All Data'!$F$2:$F119,'All Data'!$F120)=0),1,0)</f>
        <v>0</v>
      </c>
      <c r="S120" t="str">
        <f>IF($R120=1,SUM($R$2:R120),"")</f>
        <v/>
      </c>
      <c r="T120">
        <f t="shared" si="10"/>
        <v>1</v>
      </c>
      <c r="U120">
        <f>IF(AND($T120=1,'All Data'!$G120&lt;&gt;"",COUNTIFS($T$2:T119,1,'All Data'!$G$2:$G119,'All Data'!$G120)=0),1,0)</f>
        <v>0</v>
      </c>
      <c r="V120" t="str">
        <f>IF($U120=1,SUM($U$2:U120),"")</f>
        <v/>
      </c>
      <c r="W120">
        <f t="shared" si="11"/>
        <v>0</v>
      </c>
      <c r="X120" t="str">
        <f>IF($W120=1,SUM($W$2:W120),"")</f>
        <v/>
      </c>
      <c r="Z120" t="str">
        <f>IFERROR(INDEX('All Data'!$C$2:$C$419,MATCH(118,$J$2:$J$419,0))&amp;"","")</f>
        <v/>
      </c>
      <c r="AB120" t="str">
        <f>IFERROR(INDEX('All Data'!$D$2:$D$419,MATCH(118,$M$2:$M$419,0))&amp;"","")</f>
        <v/>
      </c>
      <c r="AD120" t="str">
        <f>IFERROR(INDEX('All Data'!$E$2:$E$419,MATCH(118,$P$2:$P$419,0))&amp;"","")</f>
        <v/>
      </c>
      <c r="AF120" t="str">
        <f>IFERROR(INDEX('All Data'!$F$2:$F$419,MATCH(118,$S$2:$S$419,0))&amp;"","")</f>
        <v/>
      </c>
      <c r="AH120" t="str">
        <f>IFERROR(INDEX('All Data'!$G$2:$G$419,MATCH(118,$V$2:$V$419,0))&amp;"","")</f>
        <v/>
      </c>
    </row>
    <row r="121" spans="1:34" x14ac:dyDescent="0.3">
      <c r="A121">
        <f>IF(OR($BA1="Any",$BA1=""),1,IF('All Data'!$B121=$BA1,1,0))</f>
        <v>1</v>
      </c>
      <c r="B121">
        <f>IF(OR($BA2="Any",$BA2=""),1,IF('All Data'!$C121=$BA2,1,0))</f>
        <v>1</v>
      </c>
      <c r="C121">
        <f>IF(OR($BA3="Any",$BA3=""),1,IF('All Data'!$D121=$BA3,1,0))</f>
        <v>1</v>
      </c>
      <c r="D121">
        <f>IF(OR($BA4="Any",$BA4=""),1,IF('All Data'!$E121=$BA4,1,0))</f>
        <v>1</v>
      </c>
      <c r="E121">
        <f>IF(OR($BA5="Any",$BA5=""),1,IF('All Data'!$F121=$BA5,1,0))</f>
        <v>1</v>
      </c>
      <c r="F121">
        <f>IF(OR($BA6="Any",$BA6=""),1,IF('All Data'!$G121=$BA6,1,0))</f>
        <v>0</v>
      </c>
      <c r="G121">
        <f>IF(AND(OR($BA$8="",ISNUMBER(SEARCH($BA$8,'All Data'!$K121&amp;" "&amp;'All Data'!$M121))),OR($BA$9="",ISNUMBER(SEARCH($BA$9,'All Data'!$K121&amp;" "&amp;'All Data'!$M121))),OR($BA$10="",ISNUMBER(SEARCH($BA$10,'All Data'!$K121&amp;" "&amp;'All Data'!$M121))),OR($BA$11="",ISNUMBER(SEARCH($BA$11,'All Data'!$K121&amp;" "&amp;'All Data'!$M121))),OR($BA$12="",ISNUMBER(SEARCH($BA$12,'All Data'!$K121&amp;" "&amp;'All Data'!$M121))),OR($BA$13="",ISNUMBER(SEARCH($BA$13,'All Data'!$K121&amp;" "&amp;'All Data'!$M121))),OR($BA$14="",ISNUMBER(SEARCH($BA$14,'All Data'!$K121&amp;" "&amp;'All Data'!$M121))),OR($BA$15="",ISNUMBER(SEARCH($BA$15,'All Data'!$K121&amp;" "&amp;'All Data'!$M121)))),1,0)</f>
        <v>1</v>
      </c>
      <c r="H121">
        <f t="shared" si="6"/>
        <v>1</v>
      </c>
      <c r="I121">
        <f>IF(AND($H121=1,'All Data'!$C121&lt;&gt;"",COUNTIFS($H$2:H120,1,'All Data'!$C$2:$C120,'All Data'!$C121)=0),1,0)</f>
        <v>0</v>
      </c>
      <c r="J121" t="str">
        <f>IF($I121=1,SUM($I$2:I121),"")</f>
        <v/>
      </c>
      <c r="K121">
        <f t="shared" si="7"/>
        <v>1</v>
      </c>
      <c r="L121">
        <f>IF(AND($K121=1,'All Data'!$D121&lt;&gt;"",COUNTIFS($K$2:K120,1,'All Data'!$D$2:$D120,'All Data'!$D121)=0),1,0)</f>
        <v>0</v>
      </c>
      <c r="M121" t="str">
        <f>IF($L121=1,SUM($L$2:L121),"")</f>
        <v/>
      </c>
      <c r="N121">
        <f t="shared" si="8"/>
        <v>1</v>
      </c>
      <c r="O121">
        <f>IF(AND($N121=1,'All Data'!$E121&lt;&gt;"",COUNTIFS($N$2:N120,1,'All Data'!$E$2:$E120,'All Data'!$E121)=0),1,0)</f>
        <v>0</v>
      </c>
      <c r="P121" t="str">
        <f>IF($O121=1,SUM($O$2:O121),"")</f>
        <v/>
      </c>
      <c r="Q121">
        <f t="shared" si="9"/>
        <v>1</v>
      </c>
      <c r="R121">
        <f>IF(AND($Q121=1,'All Data'!$F121&lt;&gt;"",COUNTIFS($Q$2:Q120,1,'All Data'!$F$2:$F120,'All Data'!$F121)=0),1,0)</f>
        <v>0</v>
      </c>
      <c r="S121" t="str">
        <f>IF($R121=1,SUM($R$2:R121),"")</f>
        <v/>
      </c>
      <c r="T121">
        <f t="shared" si="10"/>
        <v>1</v>
      </c>
      <c r="U121">
        <f>IF(AND($T121=1,'All Data'!$G121&lt;&gt;"",COUNTIFS($T$2:T120,1,'All Data'!$G$2:$G120,'All Data'!$G121)=0),1,0)</f>
        <v>0</v>
      </c>
      <c r="V121" t="str">
        <f>IF($U121=1,SUM($U$2:U121),"")</f>
        <v/>
      </c>
      <c r="W121">
        <f t="shared" si="11"/>
        <v>0</v>
      </c>
      <c r="X121" t="str">
        <f>IF($W121=1,SUM($W$2:W121),"")</f>
        <v/>
      </c>
      <c r="Z121" t="str">
        <f>IFERROR(INDEX('All Data'!$C$2:$C$419,MATCH(119,$J$2:$J$419,0))&amp;"","")</f>
        <v/>
      </c>
      <c r="AB121" t="str">
        <f>IFERROR(INDEX('All Data'!$D$2:$D$419,MATCH(119,$M$2:$M$419,0))&amp;"","")</f>
        <v/>
      </c>
      <c r="AD121" t="str">
        <f>IFERROR(INDEX('All Data'!$E$2:$E$419,MATCH(119,$P$2:$P$419,0))&amp;"","")</f>
        <v/>
      </c>
      <c r="AF121" t="str">
        <f>IFERROR(INDEX('All Data'!$F$2:$F$419,MATCH(119,$S$2:$S$419,0))&amp;"","")</f>
        <v/>
      </c>
      <c r="AH121" t="str">
        <f>IFERROR(INDEX('All Data'!$G$2:$G$419,MATCH(119,$V$2:$V$419,0))&amp;"","")</f>
        <v/>
      </c>
    </row>
    <row r="122" spans="1:34" x14ac:dyDescent="0.3">
      <c r="A122">
        <f>IF(OR($BA1="Any",$BA1=""),1,IF('All Data'!$B122=$BA1,1,0))</f>
        <v>1</v>
      </c>
      <c r="B122">
        <f>IF(OR($BA2="Any",$BA2=""),1,IF('All Data'!$C122=$BA2,1,0))</f>
        <v>1</v>
      </c>
      <c r="C122">
        <f>IF(OR($BA3="Any",$BA3=""),1,IF('All Data'!$D122=$BA3,1,0))</f>
        <v>1</v>
      </c>
      <c r="D122">
        <f>IF(OR($BA4="Any",$BA4=""),1,IF('All Data'!$E122=$BA4,1,0))</f>
        <v>1</v>
      </c>
      <c r="E122">
        <f>IF(OR($BA5="Any",$BA5=""),1,IF('All Data'!$F122=$BA5,1,0))</f>
        <v>1</v>
      </c>
      <c r="F122">
        <f>IF(OR($BA6="Any",$BA6=""),1,IF('All Data'!$G122=$BA6,1,0))</f>
        <v>0</v>
      </c>
      <c r="G122">
        <f>IF(AND(OR($BA$8="",ISNUMBER(SEARCH($BA$8,'All Data'!$K122&amp;" "&amp;'All Data'!$M122))),OR($BA$9="",ISNUMBER(SEARCH($BA$9,'All Data'!$K122&amp;" "&amp;'All Data'!$M122))),OR($BA$10="",ISNUMBER(SEARCH($BA$10,'All Data'!$K122&amp;" "&amp;'All Data'!$M122))),OR($BA$11="",ISNUMBER(SEARCH($BA$11,'All Data'!$K122&amp;" "&amp;'All Data'!$M122))),OR($BA$12="",ISNUMBER(SEARCH($BA$12,'All Data'!$K122&amp;" "&amp;'All Data'!$M122))),OR($BA$13="",ISNUMBER(SEARCH($BA$13,'All Data'!$K122&amp;" "&amp;'All Data'!$M122))),OR($BA$14="",ISNUMBER(SEARCH($BA$14,'All Data'!$K122&amp;" "&amp;'All Data'!$M122))),OR($BA$15="",ISNUMBER(SEARCH($BA$15,'All Data'!$K122&amp;" "&amp;'All Data'!$M122)))),1,0)</f>
        <v>1</v>
      </c>
      <c r="H122">
        <f t="shared" si="6"/>
        <v>1</v>
      </c>
      <c r="I122">
        <f>IF(AND($H122=1,'All Data'!$C122&lt;&gt;"",COUNTIFS($H$2:H121,1,'All Data'!$C$2:$C121,'All Data'!$C122)=0),1,0)</f>
        <v>0</v>
      </c>
      <c r="J122" t="str">
        <f>IF($I122=1,SUM($I$2:I122),"")</f>
        <v/>
      </c>
      <c r="K122">
        <f t="shared" si="7"/>
        <v>1</v>
      </c>
      <c r="L122">
        <f>IF(AND($K122=1,'All Data'!$D122&lt;&gt;"",COUNTIFS($K$2:K121,1,'All Data'!$D$2:$D121,'All Data'!$D122)=0),1,0)</f>
        <v>0</v>
      </c>
      <c r="M122" t="str">
        <f>IF($L122=1,SUM($L$2:L122),"")</f>
        <v/>
      </c>
      <c r="N122">
        <f t="shared" si="8"/>
        <v>1</v>
      </c>
      <c r="O122">
        <f>IF(AND($N122=1,'All Data'!$E122&lt;&gt;"",COUNTIFS($N$2:N121,1,'All Data'!$E$2:$E121,'All Data'!$E122)=0),1,0)</f>
        <v>0</v>
      </c>
      <c r="P122" t="str">
        <f>IF($O122=1,SUM($O$2:O122),"")</f>
        <v/>
      </c>
      <c r="Q122">
        <f t="shared" si="9"/>
        <v>1</v>
      </c>
      <c r="R122">
        <f>IF(AND($Q122=1,'All Data'!$F122&lt;&gt;"",COUNTIFS($Q$2:Q121,1,'All Data'!$F$2:$F121,'All Data'!$F122)=0),1,0)</f>
        <v>0</v>
      </c>
      <c r="S122" t="str">
        <f>IF($R122=1,SUM($R$2:R122),"")</f>
        <v/>
      </c>
      <c r="T122">
        <f t="shared" si="10"/>
        <v>1</v>
      </c>
      <c r="U122">
        <f>IF(AND($T122=1,'All Data'!$G122&lt;&gt;"",COUNTIFS($T$2:T121,1,'All Data'!$G$2:$G121,'All Data'!$G122)=0),1,0)</f>
        <v>0</v>
      </c>
      <c r="V122" t="str">
        <f>IF($U122=1,SUM($U$2:U122),"")</f>
        <v/>
      </c>
      <c r="W122">
        <f t="shared" si="11"/>
        <v>0</v>
      </c>
      <c r="X122" t="str">
        <f>IF($W122=1,SUM($W$2:W122),"")</f>
        <v/>
      </c>
      <c r="Z122" t="str">
        <f>IFERROR(INDEX('All Data'!$C$2:$C$419,MATCH(120,$J$2:$J$419,0))&amp;"","")</f>
        <v/>
      </c>
      <c r="AB122" t="str">
        <f>IFERROR(INDEX('All Data'!$D$2:$D$419,MATCH(120,$M$2:$M$419,0))&amp;"","")</f>
        <v/>
      </c>
      <c r="AD122" t="str">
        <f>IFERROR(INDEX('All Data'!$E$2:$E$419,MATCH(120,$P$2:$P$419,0))&amp;"","")</f>
        <v/>
      </c>
      <c r="AF122" t="str">
        <f>IFERROR(INDEX('All Data'!$F$2:$F$419,MATCH(120,$S$2:$S$419,0))&amp;"","")</f>
        <v/>
      </c>
      <c r="AH122" t="str">
        <f>IFERROR(INDEX('All Data'!$G$2:$G$419,MATCH(120,$V$2:$V$419,0))&amp;"","")</f>
        <v/>
      </c>
    </row>
    <row r="123" spans="1:34" x14ac:dyDescent="0.3">
      <c r="A123">
        <f>IF(OR($BA1="Any",$BA1=""),1,IF('All Data'!$B123=$BA1,1,0))</f>
        <v>1</v>
      </c>
      <c r="B123">
        <f>IF(OR($BA2="Any",$BA2=""),1,IF('All Data'!$C123=$BA2,1,0))</f>
        <v>1</v>
      </c>
      <c r="C123">
        <f>IF(OR($BA3="Any",$BA3=""),1,IF('All Data'!$D123=$BA3,1,0))</f>
        <v>1</v>
      </c>
      <c r="D123">
        <f>IF(OR($BA4="Any",$BA4=""),1,IF('All Data'!$E123=$BA4,1,0))</f>
        <v>1</v>
      </c>
      <c r="E123">
        <f>IF(OR($BA5="Any",$BA5=""),1,IF('All Data'!$F123=$BA5,1,0))</f>
        <v>1</v>
      </c>
      <c r="F123">
        <f>IF(OR($BA6="Any",$BA6=""),1,IF('All Data'!$G123=$BA6,1,0))</f>
        <v>0</v>
      </c>
      <c r="G123">
        <f>IF(AND(OR($BA$8="",ISNUMBER(SEARCH($BA$8,'All Data'!$K123&amp;" "&amp;'All Data'!$M123))),OR($BA$9="",ISNUMBER(SEARCH($BA$9,'All Data'!$K123&amp;" "&amp;'All Data'!$M123))),OR($BA$10="",ISNUMBER(SEARCH($BA$10,'All Data'!$K123&amp;" "&amp;'All Data'!$M123))),OR($BA$11="",ISNUMBER(SEARCH($BA$11,'All Data'!$K123&amp;" "&amp;'All Data'!$M123))),OR($BA$12="",ISNUMBER(SEARCH($BA$12,'All Data'!$K123&amp;" "&amp;'All Data'!$M123))),OR($BA$13="",ISNUMBER(SEARCH($BA$13,'All Data'!$K123&amp;" "&amp;'All Data'!$M123))),OR($BA$14="",ISNUMBER(SEARCH($BA$14,'All Data'!$K123&amp;" "&amp;'All Data'!$M123))),OR($BA$15="",ISNUMBER(SEARCH($BA$15,'All Data'!$K123&amp;" "&amp;'All Data'!$M123)))),1,0)</f>
        <v>1</v>
      </c>
      <c r="H123">
        <f t="shared" si="6"/>
        <v>1</v>
      </c>
      <c r="I123">
        <f>IF(AND($H123=1,'All Data'!$C123&lt;&gt;"",COUNTIFS($H$2:H122,1,'All Data'!$C$2:$C122,'All Data'!$C123)=0),1,0)</f>
        <v>0</v>
      </c>
      <c r="J123" t="str">
        <f>IF($I123=1,SUM($I$2:I123),"")</f>
        <v/>
      </c>
      <c r="K123">
        <f t="shared" si="7"/>
        <v>1</v>
      </c>
      <c r="L123">
        <f>IF(AND($K123=1,'All Data'!$D123&lt;&gt;"",COUNTIFS($K$2:K122,1,'All Data'!$D$2:$D122,'All Data'!$D123)=0),1,0)</f>
        <v>0</v>
      </c>
      <c r="M123" t="str">
        <f>IF($L123=1,SUM($L$2:L123),"")</f>
        <v/>
      </c>
      <c r="N123">
        <f t="shared" si="8"/>
        <v>1</v>
      </c>
      <c r="O123">
        <f>IF(AND($N123=1,'All Data'!$E123&lt;&gt;"",COUNTIFS($N$2:N122,1,'All Data'!$E$2:$E122,'All Data'!$E123)=0),1,0)</f>
        <v>0</v>
      </c>
      <c r="P123" t="str">
        <f>IF($O123=1,SUM($O$2:O123),"")</f>
        <v/>
      </c>
      <c r="Q123">
        <f t="shared" si="9"/>
        <v>1</v>
      </c>
      <c r="R123">
        <f>IF(AND($Q123=1,'All Data'!$F123&lt;&gt;"",COUNTIFS($Q$2:Q122,1,'All Data'!$F$2:$F122,'All Data'!$F123)=0),1,0)</f>
        <v>0</v>
      </c>
      <c r="S123" t="str">
        <f>IF($R123=1,SUM($R$2:R123),"")</f>
        <v/>
      </c>
      <c r="T123">
        <f t="shared" si="10"/>
        <v>1</v>
      </c>
      <c r="U123">
        <f>IF(AND($T123=1,'All Data'!$G123&lt;&gt;"",COUNTIFS($T$2:T122,1,'All Data'!$G$2:$G122,'All Data'!$G123)=0),1,0)</f>
        <v>0</v>
      </c>
      <c r="V123" t="str">
        <f>IF($U123=1,SUM($U$2:U123),"")</f>
        <v/>
      </c>
      <c r="W123">
        <f t="shared" si="11"/>
        <v>0</v>
      </c>
      <c r="X123" t="str">
        <f>IF($W123=1,SUM($W$2:W123),"")</f>
        <v/>
      </c>
      <c r="Z123" t="str">
        <f>IFERROR(INDEX('All Data'!$C$2:$C$419,MATCH(121,$J$2:$J$419,0))&amp;"","")</f>
        <v/>
      </c>
      <c r="AB123" t="str">
        <f>IFERROR(INDEX('All Data'!$D$2:$D$419,MATCH(121,$M$2:$M$419,0))&amp;"","")</f>
        <v/>
      </c>
      <c r="AD123" t="str">
        <f>IFERROR(INDEX('All Data'!$E$2:$E$419,MATCH(121,$P$2:$P$419,0))&amp;"","")</f>
        <v/>
      </c>
      <c r="AF123" t="str">
        <f>IFERROR(INDEX('All Data'!$F$2:$F$419,MATCH(121,$S$2:$S$419,0))&amp;"","")</f>
        <v/>
      </c>
      <c r="AH123" t="str">
        <f>IFERROR(INDEX('All Data'!$G$2:$G$419,MATCH(121,$V$2:$V$419,0))&amp;"","")</f>
        <v/>
      </c>
    </row>
    <row r="124" spans="1:34" x14ac:dyDescent="0.3">
      <c r="A124">
        <f>IF(OR($BA1="Any",$BA1=""),1,IF('All Data'!$B124=$BA1,1,0))</f>
        <v>1</v>
      </c>
      <c r="B124">
        <f>IF(OR($BA2="Any",$BA2=""),1,IF('All Data'!$C124=$BA2,1,0))</f>
        <v>1</v>
      </c>
      <c r="C124">
        <f>IF(OR($BA3="Any",$BA3=""),1,IF('All Data'!$D124=$BA3,1,0))</f>
        <v>1</v>
      </c>
      <c r="D124">
        <f>IF(OR($BA4="Any",$BA4=""),1,IF('All Data'!$E124=$BA4,1,0))</f>
        <v>1</v>
      </c>
      <c r="E124">
        <f>IF(OR($BA5="Any",$BA5=""),1,IF('All Data'!$F124=$BA5,1,0))</f>
        <v>1</v>
      </c>
      <c r="F124">
        <f>IF(OR($BA6="Any",$BA6=""),1,IF('All Data'!$G124=$BA6,1,0))</f>
        <v>0</v>
      </c>
      <c r="G124">
        <f>IF(AND(OR($BA$8="",ISNUMBER(SEARCH($BA$8,'All Data'!$K124&amp;" "&amp;'All Data'!$M124))),OR($BA$9="",ISNUMBER(SEARCH($BA$9,'All Data'!$K124&amp;" "&amp;'All Data'!$M124))),OR($BA$10="",ISNUMBER(SEARCH($BA$10,'All Data'!$K124&amp;" "&amp;'All Data'!$M124))),OR($BA$11="",ISNUMBER(SEARCH($BA$11,'All Data'!$K124&amp;" "&amp;'All Data'!$M124))),OR($BA$12="",ISNUMBER(SEARCH($BA$12,'All Data'!$K124&amp;" "&amp;'All Data'!$M124))),OR($BA$13="",ISNUMBER(SEARCH($BA$13,'All Data'!$K124&amp;" "&amp;'All Data'!$M124))),OR($BA$14="",ISNUMBER(SEARCH($BA$14,'All Data'!$K124&amp;" "&amp;'All Data'!$M124))),OR($BA$15="",ISNUMBER(SEARCH($BA$15,'All Data'!$K124&amp;" "&amp;'All Data'!$M124)))),1,0)</f>
        <v>1</v>
      </c>
      <c r="H124">
        <f t="shared" si="6"/>
        <v>1</v>
      </c>
      <c r="I124">
        <f>IF(AND($H124=1,'All Data'!$C124&lt;&gt;"",COUNTIFS($H$2:H123,1,'All Data'!$C$2:$C123,'All Data'!$C124)=0),1,0)</f>
        <v>0</v>
      </c>
      <c r="J124" t="str">
        <f>IF($I124=1,SUM($I$2:I124),"")</f>
        <v/>
      </c>
      <c r="K124">
        <f t="shared" si="7"/>
        <v>1</v>
      </c>
      <c r="L124">
        <f>IF(AND($K124=1,'All Data'!$D124&lt;&gt;"",COUNTIFS($K$2:K123,1,'All Data'!$D$2:$D123,'All Data'!$D124)=0),1,0)</f>
        <v>0</v>
      </c>
      <c r="M124" t="str">
        <f>IF($L124=1,SUM($L$2:L124),"")</f>
        <v/>
      </c>
      <c r="N124">
        <f t="shared" si="8"/>
        <v>1</v>
      </c>
      <c r="O124">
        <f>IF(AND($N124=1,'All Data'!$E124&lt;&gt;"",COUNTIFS($N$2:N123,1,'All Data'!$E$2:$E123,'All Data'!$E124)=0),1,0)</f>
        <v>0</v>
      </c>
      <c r="P124" t="str">
        <f>IF($O124=1,SUM($O$2:O124),"")</f>
        <v/>
      </c>
      <c r="Q124">
        <f t="shared" si="9"/>
        <v>1</v>
      </c>
      <c r="R124">
        <f>IF(AND($Q124=1,'All Data'!$F124&lt;&gt;"",COUNTIFS($Q$2:Q123,1,'All Data'!$F$2:$F123,'All Data'!$F124)=0),1,0)</f>
        <v>0</v>
      </c>
      <c r="S124" t="str">
        <f>IF($R124=1,SUM($R$2:R124),"")</f>
        <v/>
      </c>
      <c r="T124">
        <f t="shared" si="10"/>
        <v>1</v>
      </c>
      <c r="U124">
        <f>IF(AND($T124=1,'All Data'!$G124&lt;&gt;"",COUNTIFS($T$2:T123,1,'All Data'!$G$2:$G123,'All Data'!$G124)=0),1,0)</f>
        <v>0</v>
      </c>
      <c r="V124" t="str">
        <f>IF($U124=1,SUM($U$2:U124),"")</f>
        <v/>
      </c>
      <c r="W124">
        <f t="shared" si="11"/>
        <v>0</v>
      </c>
      <c r="X124" t="str">
        <f>IF($W124=1,SUM($W$2:W124),"")</f>
        <v/>
      </c>
      <c r="Z124" t="str">
        <f>IFERROR(INDEX('All Data'!$C$2:$C$419,MATCH(122,$J$2:$J$419,0))&amp;"","")</f>
        <v/>
      </c>
      <c r="AB124" t="str">
        <f>IFERROR(INDEX('All Data'!$D$2:$D$419,MATCH(122,$M$2:$M$419,0))&amp;"","")</f>
        <v/>
      </c>
      <c r="AD124" t="str">
        <f>IFERROR(INDEX('All Data'!$E$2:$E$419,MATCH(122,$P$2:$P$419,0))&amp;"","")</f>
        <v/>
      </c>
      <c r="AF124" t="str">
        <f>IFERROR(INDEX('All Data'!$F$2:$F$419,MATCH(122,$S$2:$S$419,0))&amp;"","")</f>
        <v/>
      </c>
      <c r="AH124" t="str">
        <f>IFERROR(INDEX('All Data'!$G$2:$G$419,MATCH(122,$V$2:$V$419,0))&amp;"","")</f>
        <v/>
      </c>
    </row>
    <row r="125" spans="1:34" x14ac:dyDescent="0.3">
      <c r="A125">
        <f>IF(OR($BA1="Any",$BA1=""),1,IF('All Data'!$B125=$BA1,1,0))</f>
        <v>1</v>
      </c>
      <c r="B125">
        <f>IF(OR($BA2="Any",$BA2=""),1,IF('All Data'!$C125=$BA2,1,0))</f>
        <v>1</v>
      </c>
      <c r="C125">
        <f>IF(OR($BA3="Any",$BA3=""),1,IF('All Data'!$D125=$BA3,1,0))</f>
        <v>1</v>
      </c>
      <c r="D125">
        <f>IF(OR($BA4="Any",$BA4=""),1,IF('All Data'!$E125=$BA4,1,0))</f>
        <v>1</v>
      </c>
      <c r="E125">
        <f>IF(OR($BA5="Any",$BA5=""),1,IF('All Data'!$F125=$BA5,1,0))</f>
        <v>1</v>
      </c>
      <c r="F125">
        <f>IF(OR($BA6="Any",$BA6=""),1,IF('All Data'!$G125=$BA6,1,0))</f>
        <v>0</v>
      </c>
      <c r="G125">
        <f>IF(AND(OR($BA$8="",ISNUMBER(SEARCH($BA$8,'All Data'!$K125&amp;" "&amp;'All Data'!$M125))),OR($BA$9="",ISNUMBER(SEARCH($BA$9,'All Data'!$K125&amp;" "&amp;'All Data'!$M125))),OR($BA$10="",ISNUMBER(SEARCH($BA$10,'All Data'!$K125&amp;" "&amp;'All Data'!$M125))),OR($BA$11="",ISNUMBER(SEARCH($BA$11,'All Data'!$K125&amp;" "&amp;'All Data'!$M125))),OR($BA$12="",ISNUMBER(SEARCH($BA$12,'All Data'!$K125&amp;" "&amp;'All Data'!$M125))),OR($BA$13="",ISNUMBER(SEARCH($BA$13,'All Data'!$K125&amp;" "&amp;'All Data'!$M125))),OR($BA$14="",ISNUMBER(SEARCH($BA$14,'All Data'!$K125&amp;" "&amp;'All Data'!$M125))),OR($BA$15="",ISNUMBER(SEARCH($BA$15,'All Data'!$K125&amp;" "&amp;'All Data'!$M125)))),1,0)</f>
        <v>1</v>
      </c>
      <c r="H125">
        <f t="shared" si="6"/>
        <v>1</v>
      </c>
      <c r="I125">
        <f>IF(AND($H125=1,'All Data'!$C125&lt;&gt;"",COUNTIFS($H$2:H124,1,'All Data'!$C$2:$C124,'All Data'!$C125)=0),1,0)</f>
        <v>0</v>
      </c>
      <c r="J125" t="str">
        <f>IF($I125=1,SUM($I$2:I125),"")</f>
        <v/>
      </c>
      <c r="K125">
        <f t="shared" si="7"/>
        <v>1</v>
      </c>
      <c r="L125">
        <f>IF(AND($K125=1,'All Data'!$D125&lt;&gt;"",COUNTIFS($K$2:K124,1,'All Data'!$D$2:$D124,'All Data'!$D125)=0),1,0)</f>
        <v>0</v>
      </c>
      <c r="M125" t="str">
        <f>IF($L125=1,SUM($L$2:L125),"")</f>
        <v/>
      </c>
      <c r="N125">
        <f t="shared" si="8"/>
        <v>1</v>
      </c>
      <c r="O125">
        <f>IF(AND($N125=1,'All Data'!$E125&lt;&gt;"",COUNTIFS($N$2:N124,1,'All Data'!$E$2:$E124,'All Data'!$E125)=0),1,0)</f>
        <v>0</v>
      </c>
      <c r="P125" t="str">
        <f>IF($O125=1,SUM($O$2:O125),"")</f>
        <v/>
      </c>
      <c r="Q125">
        <f t="shared" si="9"/>
        <v>1</v>
      </c>
      <c r="R125">
        <f>IF(AND($Q125=1,'All Data'!$F125&lt;&gt;"",COUNTIFS($Q$2:Q124,1,'All Data'!$F$2:$F124,'All Data'!$F125)=0),1,0)</f>
        <v>0</v>
      </c>
      <c r="S125" t="str">
        <f>IF($R125=1,SUM($R$2:R125),"")</f>
        <v/>
      </c>
      <c r="T125">
        <f t="shared" si="10"/>
        <v>1</v>
      </c>
      <c r="U125">
        <f>IF(AND($T125=1,'All Data'!$G125&lt;&gt;"",COUNTIFS($T$2:T124,1,'All Data'!$G$2:$G124,'All Data'!$G125)=0),1,0)</f>
        <v>1</v>
      </c>
      <c r="V125">
        <f>IF($U125=1,SUM($U$2:U125),"")</f>
        <v>51</v>
      </c>
      <c r="W125">
        <f t="shared" si="11"/>
        <v>0</v>
      </c>
      <c r="X125" t="str">
        <f>IF($W125=1,SUM($W$2:W125),"")</f>
        <v/>
      </c>
      <c r="Z125" t="str">
        <f>IFERROR(INDEX('All Data'!$C$2:$C$419,MATCH(123,$J$2:$J$419,0))&amp;"","")</f>
        <v/>
      </c>
      <c r="AB125" t="str">
        <f>IFERROR(INDEX('All Data'!$D$2:$D$419,MATCH(123,$M$2:$M$419,0))&amp;"","")</f>
        <v/>
      </c>
      <c r="AD125" t="str">
        <f>IFERROR(INDEX('All Data'!$E$2:$E$419,MATCH(123,$P$2:$P$419,0))&amp;"","")</f>
        <v/>
      </c>
      <c r="AF125" t="str">
        <f>IFERROR(INDEX('All Data'!$F$2:$F$419,MATCH(123,$S$2:$S$419,0))&amp;"","")</f>
        <v/>
      </c>
      <c r="AH125" t="str">
        <f>IFERROR(INDEX('All Data'!$G$2:$G$419,MATCH(123,$V$2:$V$419,0))&amp;"","")</f>
        <v/>
      </c>
    </row>
    <row r="126" spans="1:34" x14ac:dyDescent="0.3">
      <c r="A126">
        <f>IF(OR($BA1="Any",$BA1=""),1,IF('All Data'!$B126=$BA1,1,0))</f>
        <v>1</v>
      </c>
      <c r="B126">
        <f>IF(OR($BA2="Any",$BA2=""),1,IF('All Data'!$C126=$BA2,1,0))</f>
        <v>1</v>
      </c>
      <c r="C126">
        <f>IF(OR($BA3="Any",$BA3=""),1,IF('All Data'!$D126=$BA3,1,0))</f>
        <v>1</v>
      </c>
      <c r="D126">
        <f>IF(OR($BA4="Any",$BA4=""),1,IF('All Data'!$E126=$BA4,1,0))</f>
        <v>1</v>
      </c>
      <c r="E126">
        <f>IF(OR($BA5="Any",$BA5=""),1,IF('All Data'!$F126=$BA5,1,0))</f>
        <v>1</v>
      </c>
      <c r="F126">
        <f>IF(OR($BA6="Any",$BA6=""),1,IF('All Data'!$G126=$BA6,1,0))</f>
        <v>0</v>
      </c>
      <c r="G126">
        <f>IF(AND(OR($BA$8="",ISNUMBER(SEARCH($BA$8,'All Data'!$K126&amp;" "&amp;'All Data'!$M126))),OR($BA$9="",ISNUMBER(SEARCH($BA$9,'All Data'!$K126&amp;" "&amp;'All Data'!$M126))),OR($BA$10="",ISNUMBER(SEARCH($BA$10,'All Data'!$K126&amp;" "&amp;'All Data'!$M126))),OR($BA$11="",ISNUMBER(SEARCH($BA$11,'All Data'!$K126&amp;" "&amp;'All Data'!$M126))),OR($BA$12="",ISNUMBER(SEARCH($BA$12,'All Data'!$K126&amp;" "&amp;'All Data'!$M126))),OR($BA$13="",ISNUMBER(SEARCH($BA$13,'All Data'!$K126&amp;" "&amp;'All Data'!$M126))),OR($BA$14="",ISNUMBER(SEARCH($BA$14,'All Data'!$K126&amp;" "&amp;'All Data'!$M126))),OR($BA$15="",ISNUMBER(SEARCH($BA$15,'All Data'!$K126&amp;" "&amp;'All Data'!$M126)))),1,0)</f>
        <v>1</v>
      </c>
      <c r="H126">
        <f t="shared" si="6"/>
        <v>1</v>
      </c>
      <c r="I126">
        <f>IF(AND($H126=1,'All Data'!$C126&lt;&gt;"",COUNTIFS($H$2:H125,1,'All Data'!$C$2:$C125,'All Data'!$C126)=0),1,0)</f>
        <v>0</v>
      </c>
      <c r="J126" t="str">
        <f>IF($I126=1,SUM($I$2:I126),"")</f>
        <v/>
      </c>
      <c r="K126">
        <f t="shared" si="7"/>
        <v>1</v>
      </c>
      <c r="L126">
        <f>IF(AND($K126=1,'All Data'!$D126&lt;&gt;"",COUNTIFS($K$2:K125,1,'All Data'!$D$2:$D125,'All Data'!$D126)=0),1,0)</f>
        <v>0</v>
      </c>
      <c r="M126" t="str">
        <f>IF($L126=1,SUM($L$2:L126),"")</f>
        <v/>
      </c>
      <c r="N126">
        <f t="shared" si="8"/>
        <v>1</v>
      </c>
      <c r="O126">
        <f>IF(AND($N126=1,'All Data'!$E126&lt;&gt;"",COUNTIFS($N$2:N125,1,'All Data'!$E$2:$E125,'All Data'!$E126)=0),1,0)</f>
        <v>0</v>
      </c>
      <c r="P126" t="str">
        <f>IF($O126=1,SUM($O$2:O126),"")</f>
        <v/>
      </c>
      <c r="Q126">
        <f t="shared" si="9"/>
        <v>1</v>
      </c>
      <c r="R126">
        <f>IF(AND($Q126=1,'All Data'!$F126&lt;&gt;"",COUNTIFS($Q$2:Q125,1,'All Data'!$F$2:$F125,'All Data'!$F126)=0),1,0)</f>
        <v>0</v>
      </c>
      <c r="S126" t="str">
        <f>IF($R126=1,SUM($R$2:R126),"")</f>
        <v/>
      </c>
      <c r="T126">
        <f t="shared" si="10"/>
        <v>1</v>
      </c>
      <c r="U126">
        <f>IF(AND($T126=1,'All Data'!$G126&lt;&gt;"",COUNTIFS($T$2:T125,1,'All Data'!$G$2:$G125,'All Data'!$G126)=0),1,0)</f>
        <v>1</v>
      </c>
      <c r="V126">
        <f>IF($U126=1,SUM($U$2:U126),"")</f>
        <v>52</v>
      </c>
      <c r="W126">
        <f t="shared" si="11"/>
        <v>0</v>
      </c>
      <c r="X126" t="str">
        <f>IF($W126=1,SUM($W$2:W126),"")</f>
        <v/>
      </c>
      <c r="Z126" t="str">
        <f>IFERROR(INDEX('All Data'!$C$2:$C$419,MATCH(124,$J$2:$J$419,0))&amp;"","")</f>
        <v/>
      </c>
      <c r="AB126" t="str">
        <f>IFERROR(INDEX('All Data'!$D$2:$D$419,MATCH(124,$M$2:$M$419,0))&amp;"","")</f>
        <v/>
      </c>
      <c r="AD126" t="str">
        <f>IFERROR(INDEX('All Data'!$E$2:$E$419,MATCH(124,$P$2:$P$419,0))&amp;"","")</f>
        <v/>
      </c>
      <c r="AF126" t="str">
        <f>IFERROR(INDEX('All Data'!$F$2:$F$419,MATCH(124,$S$2:$S$419,0))&amp;"","")</f>
        <v/>
      </c>
      <c r="AH126" t="str">
        <f>IFERROR(INDEX('All Data'!$G$2:$G$419,MATCH(124,$V$2:$V$419,0))&amp;"","")</f>
        <v/>
      </c>
    </row>
    <row r="127" spans="1:34" x14ac:dyDescent="0.3">
      <c r="A127">
        <f>IF(OR($BA1="Any",$BA1=""),1,IF('All Data'!$B127=$BA1,1,0))</f>
        <v>1</v>
      </c>
      <c r="B127">
        <f>IF(OR($BA2="Any",$BA2=""),1,IF('All Data'!$C127=$BA2,1,0))</f>
        <v>1</v>
      </c>
      <c r="C127">
        <f>IF(OR($BA3="Any",$BA3=""),1,IF('All Data'!$D127=$BA3,1,0))</f>
        <v>1</v>
      </c>
      <c r="D127">
        <f>IF(OR($BA4="Any",$BA4=""),1,IF('All Data'!$E127=$BA4,1,0))</f>
        <v>1</v>
      </c>
      <c r="E127">
        <f>IF(OR($BA5="Any",$BA5=""),1,IF('All Data'!$F127=$BA5,1,0))</f>
        <v>1</v>
      </c>
      <c r="F127">
        <f>IF(OR($BA6="Any",$BA6=""),1,IF('All Data'!$G127=$BA6,1,0))</f>
        <v>0</v>
      </c>
      <c r="G127">
        <f>IF(AND(OR($BA$8="",ISNUMBER(SEARCH($BA$8,'All Data'!$K127&amp;" "&amp;'All Data'!$M127))),OR($BA$9="",ISNUMBER(SEARCH($BA$9,'All Data'!$K127&amp;" "&amp;'All Data'!$M127))),OR($BA$10="",ISNUMBER(SEARCH($BA$10,'All Data'!$K127&amp;" "&amp;'All Data'!$M127))),OR($BA$11="",ISNUMBER(SEARCH($BA$11,'All Data'!$K127&amp;" "&amp;'All Data'!$M127))),OR($BA$12="",ISNUMBER(SEARCH($BA$12,'All Data'!$K127&amp;" "&amp;'All Data'!$M127))),OR($BA$13="",ISNUMBER(SEARCH($BA$13,'All Data'!$K127&amp;" "&amp;'All Data'!$M127))),OR($BA$14="",ISNUMBER(SEARCH($BA$14,'All Data'!$K127&amp;" "&amp;'All Data'!$M127))),OR($BA$15="",ISNUMBER(SEARCH($BA$15,'All Data'!$K127&amp;" "&amp;'All Data'!$M127)))),1,0)</f>
        <v>1</v>
      </c>
      <c r="H127">
        <f t="shared" si="6"/>
        <v>1</v>
      </c>
      <c r="I127">
        <f>IF(AND($H127=1,'All Data'!$C127&lt;&gt;"",COUNTIFS($H$2:H126,1,'All Data'!$C$2:$C126,'All Data'!$C127)=0),1,0)</f>
        <v>0</v>
      </c>
      <c r="J127" t="str">
        <f>IF($I127=1,SUM($I$2:I127),"")</f>
        <v/>
      </c>
      <c r="K127">
        <f t="shared" si="7"/>
        <v>1</v>
      </c>
      <c r="L127">
        <f>IF(AND($K127=1,'All Data'!$D127&lt;&gt;"",COUNTIFS($K$2:K126,1,'All Data'!$D$2:$D126,'All Data'!$D127)=0),1,0)</f>
        <v>0</v>
      </c>
      <c r="M127" t="str">
        <f>IF($L127=1,SUM($L$2:L127),"")</f>
        <v/>
      </c>
      <c r="N127">
        <f t="shared" si="8"/>
        <v>1</v>
      </c>
      <c r="O127">
        <f>IF(AND($N127=1,'All Data'!$E127&lt;&gt;"",COUNTIFS($N$2:N126,1,'All Data'!$E$2:$E126,'All Data'!$E127)=0),1,0)</f>
        <v>0</v>
      </c>
      <c r="P127" t="str">
        <f>IF($O127=1,SUM($O$2:O127),"")</f>
        <v/>
      </c>
      <c r="Q127">
        <f t="shared" si="9"/>
        <v>1</v>
      </c>
      <c r="R127">
        <f>IF(AND($Q127=1,'All Data'!$F127&lt;&gt;"",COUNTIFS($Q$2:Q126,1,'All Data'!$F$2:$F126,'All Data'!$F127)=0),1,0)</f>
        <v>0</v>
      </c>
      <c r="S127" t="str">
        <f>IF($R127=1,SUM($R$2:R127),"")</f>
        <v/>
      </c>
      <c r="T127">
        <f t="shared" si="10"/>
        <v>1</v>
      </c>
      <c r="U127">
        <f>IF(AND($T127=1,'All Data'!$G127&lt;&gt;"",COUNTIFS($T$2:T126,1,'All Data'!$G$2:$G126,'All Data'!$G127)=0),1,0)</f>
        <v>0</v>
      </c>
      <c r="V127" t="str">
        <f>IF($U127=1,SUM($U$2:U127),"")</f>
        <v/>
      </c>
      <c r="W127">
        <f t="shared" si="11"/>
        <v>0</v>
      </c>
      <c r="X127" t="str">
        <f>IF($W127=1,SUM($W$2:W127),"")</f>
        <v/>
      </c>
      <c r="Z127" t="str">
        <f>IFERROR(INDEX('All Data'!$C$2:$C$419,MATCH(125,$J$2:$J$419,0))&amp;"","")</f>
        <v/>
      </c>
      <c r="AB127" t="str">
        <f>IFERROR(INDEX('All Data'!$D$2:$D$419,MATCH(125,$M$2:$M$419,0))&amp;"","")</f>
        <v/>
      </c>
      <c r="AD127" t="str">
        <f>IFERROR(INDEX('All Data'!$E$2:$E$419,MATCH(125,$P$2:$P$419,0))&amp;"","")</f>
        <v/>
      </c>
      <c r="AF127" t="str">
        <f>IFERROR(INDEX('All Data'!$F$2:$F$419,MATCH(125,$S$2:$S$419,0))&amp;"","")</f>
        <v/>
      </c>
      <c r="AH127" t="str">
        <f>IFERROR(INDEX('All Data'!$G$2:$G$419,MATCH(125,$V$2:$V$419,0))&amp;"","")</f>
        <v/>
      </c>
    </row>
    <row r="128" spans="1:34" x14ac:dyDescent="0.3">
      <c r="A128">
        <f>IF(OR($BA1="Any",$BA1=""),1,IF('All Data'!$B128=$BA1,1,0))</f>
        <v>1</v>
      </c>
      <c r="B128">
        <f>IF(OR($BA2="Any",$BA2=""),1,IF('All Data'!$C128=$BA2,1,0))</f>
        <v>1</v>
      </c>
      <c r="C128">
        <f>IF(OR($BA3="Any",$BA3=""),1,IF('All Data'!$D128=$BA3,1,0))</f>
        <v>1</v>
      </c>
      <c r="D128">
        <f>IF(OR($BA4="Any",$BA4=""),1,IF('All Data'!$E128=$BA4,1,0))</f>
        <v>1</v>
      </c>
      <c r="E128">
        <f>IF(OR($BA5="Any",$BA5=""),1,IF('All Data'!$F128=$BA5,1,0))</f>
        <v>1</v>
      </c>
      <c r="F128">
        <f>IF(OR($BA6="Any",$BA6=""),1,IF('All Data'!$G128=$BA6,1,0))</f>
        <v>0</v>
      </c>
      <c r="G128">
        <f>IF(AND(OR($BA$8="",ISNUMBER(SEARCH($BA$8,'All Data'!$K128&amp;" "&amp;'All Data'!$M128))),OR($BA$9="",ISNUMBER(SEARCH($BA$9,'All Data'!$K128&amp;" "&amp;'All Data'!$M128))),OR($BA$10="",ISNUMBER(SEARCH($BA$10,'All Data'!$K128&amp;" "&amp;'All Data'!$M128))),OR($BA$11="",ISNUMBER(SEARCH($BA$11,'All Data'!$K128&amp;" "&amp;'All Data'!$M128))),OR($BA$12="",ISNUMBER(SEARCH($BA$12,'All Data'!$K128&amp;" "&amp;'All Data'!$M128))),OR($BA$13="",ISNUMBER(SEARCH($BA$13,'All Data'!$K128&amp;" "&amp;'All Data'!$M128))),OR($BA$14="",ISNUMBER(SEARCH($BA$14,'All Data'!$K128&amp;" "&amp;'All Data'!$M128))),OR($BA$15="",ISNUMBER(SEARCH($BA$15,'All Data'!$K128&amp;" "&amp;'All Data'!$M128)))),1,0)</f>
        <v>1</v>
      </c>
      <c r="H128">
        <f t="shared" si="6"/>
        <v>1</v>
      </c>
      <c r="I128">
        <f>IF(AND($H128=1,'All Data'!$C128&lt;&gt;"",COUNTIFS($H$2:H127,1,'All Data'!$C$2:$C127,'All Data'!$C128)=0),1,0)</f>
        <v>0</v>
      </c>
      <c r="J128" t="str">
        <f>IF($I128=1,SUM($I$2:I128),"")</f>
        <v/>
      </c>
      <c r="K128">
        <f t="shared" si="7"/>
        <v>1</v>
      </c>
      <c r="L128">
        <f>IF(AND($K128=1,'All Data'!$D128&lt;&gt;"",COUNTIFS($K$2:K127,1,'All Data'!$D$2:$D127,'All Data'!$D128)=0),1,0)</f>
        <v>0</v>
      </c>
      <c r="M128" t="str">
        <f>IF($L128=1,SUM($L$2:L128),"")</f>
        <v/>
      </c>
      <c r="N128">
        <f t="shared" si="8"/>
        <v>1</v>
      </c>
      <c r="O128">
        <f>IF(AND($N128=1,'All Data'!$E128&lt;&gt;"",COUNTIFS($N$2:N127,1,'All Data'!$E$2:$E127,'All Data'!$E128)=0),1,0)</f>
        <v>0</v>
      </c>
      <c r="P128" t="str">
        <f>IF($O128=1,SUM($O$2:O128),"")</f>
        <v/>
      </c>
      <c r="Q128">
        <f t="shared" si="9"/>
        <v>1</v>
      </c>
      <c r="R128">
        <f>IF(AND($Q128=1,'All Data'!$F128&lt;&gt;"",COUNTIFS($Q$2:Q127,1,'All Data'!$F$2:$F127,'All Data'!$F128)=0),1,0)</f>
        <v>0</v>
      </c>
      <c r="S128" t="str">
        <f>IF($R128=1,SUM($R$2:R128),"")</f>
        <v/>
      </c>
      <c r="T128">
        <f t="shared" si="10"/>
        <v>1</v>
      </c>
      <c r="U128">
        <f>IF(AND($T128=1,'All Data'!$G128&lt;&gt;"",COUNTIFS($T$2:T127,1,'All Data'!$G$2:$G127,'All Data'!$G128)=0),1,0)</f>
        <v>0</v>
      </c>
      <c r="V128" t="str">
        <f>IF($U128=1,SUM($U$2:U128),"")</f>
        <v/>
      </c>
      <c r="W128">
        <f t="shared" si="11"/>
        <v>0</v>
      </c>
      <c r="X128" t="str">
        <f>IF($W128=1,SUM($W$2:W128),"")</f>
        <v/>
      </c>
      <c r="Z128" t="str">
        <f>IFERROR(INDEX('All Data'!$C$2:$C$419,MATCH(126,$J$2:$J$419,0))&amp;"","")</f>
        <v/>
      </c>
      <c r="AB128" t="str">
        <f>IFERROR(INDEX('All Data'!$D$2:$D$419,MATCH(126,$M$2:$M$419,0))&amp;"","")</f>
        <v/>
      </c>
      <c r="AD128" t="str">
        <f>IFERROR(INDEX('All Data'!$E$2:$E$419,MATCH(126,$P$2:$P$419,0))&amp;"","")</f>
        <v/>
      </c>
      <c r="AF128" t="str">
        <f>IFERROR(INDEX('All Data'!$F$2:$F$419,MATCH(126,$S$2:$S$419,0))&amp;"","")</f>
        <v/>
      </c>
      <c r="AH128" t="str">
        <f>IFERROR(INDEX('All Data'!$G$2:$G$419,MATCH(126,$V$2:$V$419,0))&amp;"","")</f>
        <v/>
      </c>
    </row>
    <row r="129" spans="1:34" x14ac:dyDescent="0.3">
      <c r="A129">
        <f>IF(OR($BA1="Any",$BA1=""),1,IF('All Data'!$B129=$BA1,1,0))</f>
        <v>1</v>
      </c>
      <c r="B129">
        <f>IF(OR($BA2="Any",$BA2=""),1,IF('All Data'!$C129=$BA2,1,0))</f>
        <v>1</v>
      </c>
      <c r="C129">
        <f>IF(OR($BA3="Any",$BA3=""),1,IF('All Data'!$D129=$BA3,1,0))</f>
        <v>1</v>
      </c>
      <c r="D129">
        <f>IF(OR($BA4="Any",$BA4=""),1,IF('All Data'!$E129=$BA4,1,0))</f>
        <v>1</v>
      </c>
      <c r="E129">
        <f>IF(OR($BA5="Any",$BA5=""),1,IF('All Data'!$F129=$BA5,1,0))</f>
        <v>1</v>
      </c>
      <c r="F129">
        <f>IF(OR($BA6="Any",$BA6=""),1,IF('All Data'!$G129=$BA6,1,0))</f>
        <v>0</v>
      </c>
      <c r="G129">
        <f>IF(AND(OR($BA$8="",ISNUMBER(SEARCH($BA$8,'All Data'!$K129&amp;" "&amp;'All Data'!$M129))),OR($BA$9="",ISNUMBER(SEARCH($BA$9,'All Data'!$K129&amp;" "&amp;'All Data'!$M129))),OR($BA$10="",ISNUMBER(SEARCH($BA$10,'All Data'!$K129&amp;" "&amp;'All Data'!$M129))),OR($BA$11="",ISNUMBER(SEARCH($BA$11,'All Data'!$K129&amp;" "&amp;'All Data'!$M129))),OR($BA$12="",ISNUMBER(SEARCH($BA$12,'All Data'!$K129&amp;" "&amp;'All Data'!$M129))),OR($BA$13="",ISNUMBER(SEARCH($BA$13,'All Data'!$K129&amp;" "&amp;'All Data'!$M129))),OR($BA$14="",ISNUMBER(SEARCH($BA$14,'All Data'!$K129&amp;" "&amp;'All Data'!$M129))),OR($BA$15="",ISNUMBER(SEARCH($BA$15,'All Data'!$K129&amp;" "&amp;'All Data'!$M129)))),1,0)</f>
        <v>1</v>
      </c>
      <c r="H129">
        <f t="shared" si="6"/>
        <v>1</v>
      </c>
      <c r="I129">
        <f>IF(AND($H129=1,'All Data'!$C129&lt;&gt;"",COUNTIFS($H$2:H128,1,'All Data'!$C$2:$C128,'All Data'!$C129)=0),1,0)</f>
        <v>0</v>
      </c>
      <c r="J129" t="str">
        <f>IF($I129=1,SUM($I$2:I129),"")</f>
        <v/>
      </c>
      <c r="K129">
        <f t="shared" si="7"/>
        <v>1</v>
      </c>
      <c r="L129">
        <f>IF(AND($K129=1,'All Data'!$D129&lt;&gt;"",COUNTIFS($K$2:K128,1,'All Data'!$D$2:$D128,'All Data'!$D129)=0),1,0)</f>
        <v>0</v>
      </c>
      <c r="M129" t="str">
        <f>IF($L129=1,SUM($L$2:L129),"")</f>
        <v/>
      </c>
      <c r="N129">
        <f t="shared" si="8"/>
        <v>1</v>
      </c>
      <c r="O129">
        <f>IF(AND($N129=1,'All Data'!$E129&lt;&gt;"",COUNTIFS($N$2:N128,1,'All Data'!$E$2:$E128,'All Data'!$E129)=0),1,0)</f>
        <v>0</v>
      </c>
      <c r="P129" t="str">
        <f>IF($O129=1,SUM($O$2:O129),"")</f>
        <v/>
      </c>
      <c r="Q129">
        <f t="shared" si="9"/>
        <v>1</v>
      </c>
      <c r="R129">
        <f>IF(AND($Q129=1,'All Data'!$F129&lt;&gt;"",COUNTIFS($Q$2:Q128,1,'All Data'!$F$2:$F128,'All Data'!$F129)=0),1,0)</f>
        <v>0</v>
      </c>
      <c r="S129" t="str">
        <f>IF($R129=1,SUM($R$2:R129),"")</f>
        <v/>
      </c>
      <c r="T129">
        <f t="shared" si="10"/>
        <v>1</v>
      </c>
      <c r="U129">
        <f>IF(AND($T129=1,'All Data'!$G129&lt;&gt;"",COUNTIFS($T$2:T128,1,'All Data'!$G$2:$G128,'All Data'!$G129)=0),1,0)</f>
        <v>1</v>
      </c>
      <c r="V129">
        <f>IF($U129=1,SUM($U$2:U129),"")</f>
        <v>53</v>
      </c>
      <c r="W129">
        <f t="shared" si="11"/>
        <v>0</v>
      </c>
      <c r="X129" t="str">
        <f>IF($W129=1,SUM($W$2:W129),"")</f>
        <v/>
      </c>
      <c r="Z129" t="str">
        <f>IFERROR(INDEX('All Data'!$C$2:$C$419,MATCH(127,$J$2:$J$419,0))&amp;"","")</f>
        <v/>
      </c>
      <c r="AB129" t="str">
        <f>IFERROR(INDEX('All Data'!$D$2:$D$419,MATCH(127,$M$2:$M$419,0))&amp;"","")</f>
        <v/>
      </c>
      <c r="AD129" t="str">
        <f>IFERROR(INDEX('All Data'!$E$2:$E$419,MATCH(127,$P$2:$P$419,0))&amp;"","")</f>
        <v/>
      </c>
      <c r="AF129" t="str">
        <f>IFERROR(INDEX('All Data'!$F$2:$F$419,MATCH(127,$S$2:$S$419,0))&amp;"","")</f>
        <v/>
      </c>
      <c r="AH129" t="str">
        <f>IFERROR(INDEX('All Data'!$G$2:$G$419,MATCH(127,$V$2:$V$419,0))&amp;"","")</f>
        <v/>
      </c>
    </row>
    <row r="130" spans="1:34" x14ac:dyDescent="0.3">
      <c r="A130">
        <f>IF(OR($BA1="Any",$BA1=""),1,IF('All Data'!$B130=$BA1,1,0))</f>
        <v>1</v>
      </c>
      <c r="B130">
        <f>IF(OR($BA2="Any",$BA2=""),1,IF('All Data'!$C130=$BA2,1,0))</f>
        <v>1</v>
      </c>
      <c r="C130">
        <f>IF(OR($BA3="Any",$BA3=""),1,IF('All Data'!$D130=$BA3,1,0))</f>
        <v>1</v>
      </c>
      <c r="D130">
        <f>IF(OR($BA4="Any",$BA4=""),1,IF('All Data'!$E130=$BA4,1,0))</f>
        <v>1</v>
      </c>
      <c r="E130">
        <f>IF(OR($BA5="Any",$BA5=""),1,IF('All Data'!$F130=$BA5,1,0))</f>
        <v>1</v>
      </c>
      <c r="F130">
        <f>IF(OR($BA6="Any",$BA6=""),1,IF('All Data'!$G130=$BA6,1,0))</f>
        <v>0</v>
      </c>
      <c r="G130">
        <f>IF(AND(OR($BA$8="",ISNUMBER(SEARCH($BA$8,'All Data'!$K130&amp;" "&amp;'All Data'!$M130))),OR($BA$9="",ISNUMBER(SEARCH($BA$9,'All Data'!$K130&amp;" "&amp;'All Data'!$M130))),OR($BA$10="",ISNUMBER(SEARCH($BA$10,'All Data'!$K130&amp;" "&amp;'All Data'!$M130))),OR($BA$11="",ISNUMBER(SEARCH($BA$11,'All Data'!$K130&amp;" "&amp;'All Data'!$M130))),OR($BA$12="",ISNUMBER(SEARCH($BA$12,'All Data'!$K130&amp;" "&amp;'All Data'!$M130))),OR($BA$13="",ISNUMBER(SEARCH($BA$13,'All Data'!$K130&amp;" "&amp;'All Data'!$M130))),OR($BA$14="",ISNUMBER(SEARCH($BA$14,'All Data'!$K130&amp;" "&amp;'All Data'!$M130))),OR($BA$15="",ISNUMBER(SEARCH($BA$15,'All Data'!$K130&amp;" "&amp;'All Data'!$M130)))),1,0)</f>
        <v>1</v>
      </c>
      <c r="H130">
        <f t="shared" ref="H130:H193" si="12">$A130</f>
        <v>1</v>
      </c>
      <c r="I130">
        <f>IF(AND($H130=1,'All Data'!$C130&lt;&gt;"",COUNTIFS($H$2:H129,1,'All Data'!$C$2:$C129,'All Data'!$C130)=0),1,0)</f>
        <v>0</v>
      </c>
      <c r="J130" t="str">
        <f>IF($I130=1,SUM($I$2:I130),"")</f>
        <v/>
      </c>
      <c r="K130">
        <f t="shared" ref="K130:K193" si="13">$A130*$B130</f>
        <v>1</v>
      </c>
      <c r="L130">
        <f>IF(AND($K130=1,'All Data'!$D130&lt;&gt;"",COUNTIFS($K$2:K129,1,'All Data'!$D$2:$D129,'All Data'!$D130)=0),1,0)</f>
        <v>0</v>
      </c>
      <c r="M130" t="str">
        <f>IF($L130=1,SUM($L$2:L130),"")</f>
        <v/>
      </c>
      <c r="N130">
        <f t="shared" ref="N130:N193" si="14">$A130*$B130*$C130</f>
        <v>1</v>
      </c>
      <c r="O130">
        <f>IF(AND($N130=1,'All Data'!$E130&lt;&gt;"",COUNTIFS($N$2:N129,1,'All Data'!$E$2:$E129,'All Data'!$E130)=0),1,0)</f>
        <v>0</v>
      </c>
      <c r="P130" t="str">
        <f>IF($O130=1,SUM($O$2:O130),"")</f>
        <v/>
      </c>
      <c r="Q130">
        <f t="shared" ref="Q130:Q193" si="15">$A130*$B130*$C130*$D130</f>
        <v>1</v>
      </c>
      <c r="R130">
        <f>IF(AND($Q130=1,'All Data'!$F130&lt;&gt;"",COUNTIFS($Q$2:Q129,1,'All Data'!$F$2:$F129,'All Data'!$F130)=0),1,0)</f>
        <v>0</v>
      </c>
      <c r="S130" t="str">
        <f>IF($R130=1,SUM($R$2:R130),"")</f>
        <v/>
      </c>
      <c r="T130">
        <f t="shared" ref="T130:T193" si="16">$A130*$B130*$C130*$D130*$E130</f>
        <v>1</v>
      </c>
      <c r="U130">
        <f>IF(AND($T130=1,'All Data'!$G130&lt;&gt;"",COUNTIFS($T$2:T129,1,'All Data'!$G$2:$G129,'All Data'!$G130)=0),1,0)</f>
        <v>1</v>
      </c>
      <c r="V130">
        <f>IF($U130=1,SUM($U$2:U130),"")</f>
        <v>54</v>
      </c>
      <c r="W130">
        <f t="shared" ref="W130:W193" si="17">$A130*$B130*$C130*$D130*$E130*$F130*$G130</f>
        <v>0</v>
      </c>
      <c r="X130" t="str">
        <f>IF($W130=1,SUM($W$2:W130),"")</f>
        <v/>
      </c>
      <c r="Z130" t="str">
        <f>IFERROR(INDEX('All Data'!$C$2:$C$419,MATCH(128,$J$2:$J$419,0))&amp;"","")</f>
        <v/>
      </c>
      <c r="AB130" t="str">
        <f>IFERROR(INDEX('All Data'!$D$2:$D$419,MATCH(128,$M$2:$M$419,0))&amp;"","")</f>
        <v/>
      </c>
      <c r="AD130" t="str">
        <f>IFERROR(INDEX('All Data'!$E$2:$E$419,MATCH(128,$P$2:$P$419,0))&amp;"","")</f>
        <v/>
      </c>
      <c r="AF130" t="str">
        <f>IFERROR(INDEX('All Data'!$F$2:$F$419,MATCH(128,$S$2:$S$419,0))&amp;"","")</f>
        <v/>
      </c>
      <c r="AH130" t="str">
        <f>IFERROR(INDEX('All Data'!$G$2:$G$419,MATCH(128,$V$2:$V$419,0))&amp;"","")</f>
        <v/>
      </c>
    </row>
    <row r="131" spans="1:34" x14ac:dyDescent="0.3">
      <c r="A131">
        <f>IF(OR($BA1="Any",$BA1=""),1,IF('All Data'!$B131=$BA1,1,0))</f>
        <v>1</v>
      </c>
      <c r="B131">
        <f>IF(OR($BA2="Any",$BA2=""),1,IF('All Data'!$C131=$BA2,1,0))</f>
        <v>1</v>
      </c>
      <c r="C131">
        <f>IF(OR($BA3="Any",$BA3=""),1,IF('All Data'!$D131=$BA3,1,0))</f>
        <v>1</v>
      </c>
      <c r="D131">
        <f>IF(OR($BA4="Any",$BA4=""),1,IF('All Data'!$E131=$BA4,1,0))</f>
        <v>1</v>
      </c>
      <c r="E131">
        <f>IF(OR($BA5="Any",$BA5=""),1,IF('All Data'!$F131=$BA5,1,0))</f>
        <v>1</v>
      </c>
      <c r="F131">
        <f>IF(OR($BA6="Any",$BA6=""),1,IF('All Data'!$G131=$BA6,1,0))</f>
        <v>0</v>
      </c>
      <c r="G131">
        <f>IF(AND(OR($BA$8="",ISNUMBER(SEARCH($BA$8,'All Data'!$K131&amp;" "&amp;'All Data'!$M131))),OR($BA$9="",ISNUMBER(SEARCH($BA$9,'All Data'!$K131&amp;" "&amp;'All Data'!$M131))),OR($BA$10="",ISNUMBER(SEARCH($BA$10,'All Data'!$K131&amp;" "&amp;'All Data'!$M131))),OR($BA$11="",ISNUMBER(SEARCH($BA$11,'All Data'!$K131&amp;" "&amp;'All Data'!$M131))),OR($BA$12="",ISNUMBER(SEARCH($BA$12,'All Data'!$K131&amp;" "&amp;'All Data'!$M131))),OR($BA$13="",ISNUMBER(SEARCH($BA$13,'All Data'!$K131&amp;" "&amp;'All Data'!$M131))),OR($BA$14="",ISNUMBER(SEARCH($BA$14,'All Data'!$K131&amp;" "&amp;'All Data'!$M131))),OR($BA$15="",ISNUMBER(SEARCH($BA$15,'All Data'!$K131&amp;" "&amp;'All Data'!$M131)))),1,0)</f>
        <v>1</v>
      </c>
      <c r="H131">
        <f t="shared" si="12"/>
        <v>1</v>
      </c>
      <c r="I131">
        <f>IF(AND($H131=1,'All Data'!$C131&lt;&gt;"",COUNTIFS($H$2:H130,1,'All Data'!$C$2:$C130,'All Data'!$C131)=0),1,0)</f>
        <v>0</v>
      </c>
      <c r="J131" t="str">
        <f>IF($I131=1,SUM($I$2:I131),"")</f>
        <v/>
      </c>
      <c r="K131">
        <f t="shared" si="13"/>
        <v>1</v>
      </c>
      <c r="L131">
        <f>IF(AND($K131=1,'All Data'!$D131&lt;&gt;"",COUNTIFS($K$2:K130,1,'All Data'!$D$2:$D130,'All Data'!$D131)=0),1,0)</f>
        <v>0</v>
      </c>
      <c r="M131" t="str">
        <f>IF($L131=1,SUM($L$2:L131),"")</f>
        <v/>
      </c>
      <c r="N131">
        <f t="shared" si="14"/>
        <v>1</v>
      </c>
      <c r="O131">
        <f>IF(AND($N131=1,'All Data'!$E131&lt;&gt;"",COUNTIFS($N$2:N130,1,'All Data'!$E$2:$E130,'All Data'!$E131)=0),1,0)</f>
        <v>0</v>
      </c>
      <c r="P131" t="str">
        <f>IF($O131=1,SUM($O$2:O131),"")</f>
        <v/>
      </c>
      <c r="Q131">
        <f t="shared" si="15"/>
        <v>1</v>
      </c>
      <c r="R131">
        <f>IF(AND($Q131=1,'All Data'!$F131&lt;&gt;"",COUNTIFS($Q$2:Q130,1,'All Data'!$F$2:$F130,'All Data'!$F131)=0),1,0)</f>
        <v>0</v>
      </c>
      <c r="S131" t="str">
        <f>IF($R131=1,SUM($R$2:R131),"")</f>
        <v/>
      </c>
      <c r="T131">
        <f t="shared" si="16"/>
        <v>1</v>
      </c>
      <c r="U131">
        <f>IF(AND($T131=1,'All Data'!$G131&lt;&gt;"",COUNTIFS($T$2:T130,1,'All Data'!$G$2:$G130,'All Data'!$G131)=0),1,0)</f>
        <v>1</v>
      </c>
      <c r="V131">
        <f>IF($U131=1,SUM($U$2:U131),"")</f>
        <v>55</v>
      </c>
      <c r="W131">
        <f t="shared" si="17"/>
        <v>0</v>
      </c>
      <c r="X131" t="str">
        <f>IF($W131=1,SUM($W$2:W131),"")</f>
        <v/>
      </c>
      <c r="Z131" t="str">
        <f>IFERROR(INDEX('All Data'!$C$2:$C$419,MATCH(129,$J$2:$J$419,0))&amp;"","")</f>
        <v/>
      </c>
      <c r="AB131" t="str">
        <f>IFERROR(INDEX('All Data'!$D$2:$D$419,MATCH(129,$M$2:$M$419,0))&amp;"","")</f>
        <v/>
      </c>
      <c r="AD131" t="str">
        <f>IFERROR(INDEX('All Data'!$E$2:$E$419,MATCH(129,$P$2:$P$419,0))&amp;"","")</f>
        <v/>
      </c>
      <c r="AF131" t="str">
        <f>IFERROR(INDEX('All Data'!$F$2:$F$419,MATCH(129,$S$2:$S$419,0))&amp;"","")</f>
        <v/>
      </c>
      <c r="AH131" t="str">
        <f>IFERROR(INDEX('All Data'!$G$2:$G$419,MATCH(129,$V$2:$V$419,0))&amp;"","")</f>
        <v/>
      </c>
    </row>
    <row r="132" spans="1:34" x14ac:dyDescent="0.3">
      <c r="A132">
        <f>IF(OR($BA1="Any",$BA1=""),1,IF('All Data'!$B132=$BA1,1,0))</f>
        <v>1</v>
      </c>
      <c r="B132">
        <f>IF(OR($BA2="Any",$BA2=""),1,IF('All Data'!$C132=$BA2,1,0))</f>
        <v>1</v>
      </c>
      <c r="C132">
        <f>IF(OR($BA3="Any",$BA3=""),1,IF('All Data'!$D132=$BA3,1,0))</f>
        <v>1</v>
      </c>
      <c r="D132">
        <f>IF(OR($BA4="Any",$BA4=""),1,IF('All Data'!$E132=$BA4,1,0))</f>
        <v>1</v>
      </c>
      <c r="E132">
        <f>IF(OR($BA5="Any",$BA5=""),1,IF('All Data'!$F132=$BA5,1,0))</f>
        <v>1</v>
      </c>
      <c r="F132">
        <f>IF(OR($BA6="Any",$BA6=""),1,IF('All Data'!$G132=$BA6,1,0))</f>
        <v>0</v>
      </c>
      <c r="G132">
        <f>IF(AND(OR($BA$8="",ISNUMBER(SEARCH($BA$8,'All Data'!$K132&amp;" "&amp;'All Data'!$M132))),OR($BA$9="",ISNUMBER(SEARCH($BA$9,'All Data'!$K132&amp;" "&amp;'All Data'!$M132))),OR($BA$10="",ISNUMBER(SEARCH($BA$10,'All Data'!$K132&amp;" "&amp;'All Data'!$M132))),OR($BA$11="",ISNUMBER(SEARCH($BA$11,'All Data'!$K132&amp;" "&amp;'All Data'!$M132))),OR($BA$12="",ISNUMBER(SEARCH($BA$12,'All Data'!$K132&amp;" "&amp;'All Data'!$M132))),OR($BA$13="",ISNUMBER(SEARCH($BA$13,'All Data'!$K132&amp;" "&amp;'All Data'!$M132))),OR($BA$14="",ISNUMBER(SEARCH($BA$14,'All Data'!$K132&amp;" "&amp;'All Data'!$M132))),OR($BA$15="",ISNUMBER(SEARCH($BA$15,'All Data'!$K132&amp;" "&amp;'All Data'!$M132)))),1,0)</f>
        <v>1</v>
      </c>
      <c r="H132">
        <f t="shared" si="12"/>
        <v>1</v>
      </c>
      <c r="I132">
        <f>IF(AND($H132=1,'All Data'!$C132&lt;&gt;"",COUNTIFS($H$2:H131,1,'All Data'!$C$2:$C131,'All Data'!$C132)=0),1,0)</f>
        <v>0</v>
      </c>
      <c r="J132" t="str">
        <f>IF($I132=1,SUM($I$2:I132),"")</f>
        <v/>
      </c>
      <c r="K132">
        <f t="shared" si="13"/>
        <v>1</v>
      </c>
      <c r="L132">
        <f>IF(AND($K132=1,'All Data'!$D132&lt;&gt;"",COUNTIFS($K$2:K131,1,'All Data'!$D$2:$D131,'All Data'!$D132)=0),1,0)</f>
        <v>0</v>
      </c>
      <c r="M132" t="str">
        <f>IF($L132=1,SUM($L$2:L132),"")</f>
        <v/>
      </c>
      <c r="N132">
        <f t="shared" si="14"/>
        <v>1</v>
      </c>
      <c r="O132">
        <f>IF(AND($N132=1,'All Data'!$E132&lt;&gt;"",COUNTIFS($N$2:N131,1,'All Data'!$E$2:$E131,'All Data'!$E132)=0),1,0)</f>
        <v>0</v>
      </c>
      <c r="P132" t="str">
        <f>IF($O132=1,SUM($O$2:O132),"")</f>
        <v/>
      </c>
      <c r="Q132">
        <f t="shared" si="15"/>
        <v>1</v>
      </c>
      <c r="R132">
        <f>IF(AND($Q132=1,'All Data'!$F132&lt;&gt;"",COUNTIFS($Q$2:Q131,1,'All Data'!$F$2:$F131,'All Data'!$F132)=0),1,0)</f>
        <v>0</v>
      </c>
      <c r="S132" t="str">
        <f>IF($R132=1,SUM($R$2:R132),"")</f>
        <v/>
      </c>
      <c r="T132">
        <f t="shared" si="16"/>
        <v>1</v>
      </c>
      <c r="U132">
        <f>IF(AND($T132=1,'All Data'!$G132&lt;&gt;"",COUNTIFS($T$2:T131,1,'All Data'!$G$2:$G131,'All Data'!$G132)=0),1,0)</f>
        <v>0</v>
      </c>
      <c r="V132" t="str">
        <f>IF($U132=1,SUM($U$2:U132),"")</f>
        <v/>
      </c>
      <c r="W132">
        <f t="shared" si="17"/>
        <v>0</v>
      </c>
      <c r="X132" t="str">
        <f>IF($W132=1,SUM($W$2:W132),"")</f>
        <v/>
      </c>
      <c r="Z132" t="str">
        <f>IFERROR(INDEX('All Data'!$C$2:$C$419,MATCH(130,$J$2:$J$419,0))&amp;"","")</f>
        <v/>
      </c>
      <c r="AB132" t="str">
        <f>IFERROR(INDEX('All Data'!$D$2:$D$419,MATCH(130,$M$2:$M$419,0))&amp;"","")</f>
        <v/>
      </c>
      <c r="AD132" t="str">
        <f>IFERROR(INDEX('All Data'!$E$2:$E$419,MATCH(130,$P$2:$P$419,0))&amp;"","")</f>
        <v/>
      </c>
      <c r="AF132" t="str">
        <f>IFERROR(INDEX('All Data'!$F$2:$F$419,MATCH(130,$S$2:$S$419,0))&amp;"","")</f>
        <v/>
      </c>
      <c r="AH132" t="str">
        <f>IFERROR(INDEX('All Data'!$G$2:$G$419,MATCH(130,$V$2:$V$419,0))&amp;"","")</f>
        <v/>
      </c>
    </row>
    <row r="133" spans="1:34" x14ac:dyDescent="0.3">
      <c r="A133">
        <f>IF(OR($BA1="Any",$BA1=""),1,IF('All Data'!$B133=$BA1,1,0))</f>
        <v>1</v>
      </c>
      <c r="B133">
        <f>IF(OR($BA2="Any",$BA2=""),1,IF('All Data'!$C133=$BA2,1,0))</f>
        <v>1</v>
      </c>
      <c r="C133">
        <f>IF(OR($BA3="Any",$BA3=""),1,IF('All Data'!$D133=$BA3,1,0))</f>
        <v>1</v>
      </c>
      <c r="D133">
        <f>IF(OR($BA4="Any",$BA4=""),1,IF('All Data'!$E133=$BA4,1,0))</f>
        <v>1</v>
      </c>
      <c r="E133">
        <f>IF(OR($BA5="Any",$BA5=""),1,IF('All Data'!$F133=$BA5,1,0))</f>
        <v>1</v>
      </c>
      <c r="F133">
        <f>IF(OR($BA6="Any",$BA6=""),1,IF('All Data'!$G133=$BA6,1,0))</f>
        <v>0</v>
      </c>
      <c r="G133">
        <f>IF(AND(OR($BA$8="",ISNUMBER(SEARCH($BA$8,'All Data'!$K133&amp;" "&amp;'All Data'!$M133))),OR($BA$9="",ISNUMBER(SEARCH($BA$9,'All Data'!$K133&amp;" "&amp;'All Data'!$M133))),OR($BA$10="",ISNUMBER(SEARCH($BA$10,'All Data'!$K133&amp;" "&amp;'All Data'!$M133))),OR($BA$11="",ISNUMBER(SEARCH($BA$11,'All Data'!$K133&amp;" "&amp;'All Data'!$M133))),OR($BA$12="",ISNUMBER(SEARCH($BA$12,'All Data'!$K133&amp;" "&amp;'All Data'!$M133))),OR($BA$13="",ISNUMBER(SEARCH($BA$13,'All Data'!$K133&amp;" "&amp;'All Data'!$M133))),OR($BA$14="",ISNUMBER(SEARCH($BA$14,'All Data'!$K133&amp;" "&amp;'All Data'!$M133))),OR($BA$15="",ISNUMBER(SEARCH($BA$15,'All Data'!$K133&amp;" "&amp;'All Data'!$M133)))),1,0)</f>
        <v>1</v>
      </c>
      <c r="H133">
        <f t="shared" si="12"/>
        <v>1</v>
      </c>
      <c r="I133">
        <f>IF(AND($H133=1,'All Data'!$C133&lt;&gt;"",COUNTIFS($H$2:H132,1,'All Data'!$C$2:$C132,'All Data'!$C133)=0),1,0)</f>
        <v>0</v>
      </c>
      <c r="J133" t="str">
        <f>IF($I133=1,SUM($I$2:I133),"")</f>
        <v/>
      </c>
      <c r="K133">
        <f t="shared" si="13"/>
        <v>1</v>
      </c>
      <c r="L133">
        <f>IF(AND($K133=1,'All Data'!$D133&lt;&gt;"",COUNTIFS($K$2:K132,1,'All Data'!$D$2:$D132,'All Data'!$D133)=0),1,0)</f>
        <v>0</v>
      </c>
      <c r="M133" t="str">
        <f>IF($L133=1,SUM($L$2:L133),"")</f>
        <v/>
      </c>
      <c r="N133">
        <f t="shared" si="14"/>
        <v>1</v>
      </c>
      <c r="O133">
        <f>IF(AND($N133=1,'All Data'!$E133&lt;&gt;"",COUNTIFS($N$2:N132,1,'All Data'!$E$2:$E132,'All Data'!$E133)=0),1,0)</f>
        <v>0</v>
      </c>
      <c r="P133" t="str">
        <f>IF($O133=1,SUM($O$2:O133),"")</f>
        <v/>
      </c>
      <c r="Q133">
        <f t="shared" si="15"/>
        <v>1</v>
      </c>
      <c r="R133">
        <f>IF(AND($Q133=1,'All Data'!$F133&lt;&gt;"",COUNTIFS($Q$2:Q132,1,'All Data'!$F$2:$F132,'All Data'!$F133)=0),1,0)</f>
        <v>0</v>
      </c>
      <c r="S133" t="str">
        <f>IF($R133=1,SUM($R$2:R133),"")</f>
        <v/>
      </c>
      <c r="T133">
        <f t="shared" si="16"/>
        <v>1</v>
      </c>
      <c r="U133">
        <f>IF(AND($T133=1,'All Data'!$G133&lt;&gt;"",COUNTIFS($T$2:T132,1,'All Data'!$G$2:$G132,'All Data'!$G133)=0),1,0)</f>
        <v>0</v>
      </c>
      <c r="V133" t="str">
        <f>IF($U133=1,SUM($U$2:U133),"")</f>
        <v/>
      </c>
      <c r="W133">
        <f t="shared" si="17"/>
        <v>0</v>
      </c>
      <c r="X133" t="str">
        <f>IF($W133=1,SUM($W$2:W133),"")</f>
        <v/>
      </c>
    </row>
    <row r="134" spans="1:34" x14ac:dyDescent="0.3">
      <c r="A134">
        <f>IF(OR($BA1="Any",$BA1=""),1,IF('All Data'!$B134=$BA1,1,0))</f>
        <v>1</v>
      </c>
      <c r="B134">
        <f>IF(OR($BA2="Any",$BA2=""),1,IF('All Data'!$C134=$BA2,1,0))</f>
        <v>1</v>
      </c>
      <c r="C134">
        <f>IF(OR($BA3="Any",$BA3=""),1,IF('All Data'!$D134=$BA3,1,0))</f>
        <v>1</v>
      </c>
      <c r="D134">
        <f>IF(OR($BA4="Any",$BA4=""),1,IF('All Data'!$E134=$BA4,1,0))</f>
        <v>1</v>
      </c>
      <c r="E134">
        <f>IF(OR($BA5="Any",$BA5=""),1,IF('All Data'!$F134=$BA5,1,0))</f>
        <v>1</v>
      </c>
      <c r="F134">
        <f>IF(OR($BA6="Any",$BA6=""),1,IF('All Data'!$G134=$BA6,1,0))</f>
        <v>0</v>
      </c>
      <c r="G134">
        <f>IF(AND(OR($BA$8="",ISNUMBER(SEARCH($BA$8,'All Data'!$K134&amp;" "&amp;'All Data'!$M134))),OR($BA$9="",ISNUMBER(SEARCH($BA$9,'All Data'!$K134&amp;" "&amp;'All Data'!$M134))),OR($BA$10="",ISNUMBER(SEARCH($BA$10,'All Data'!$K134&amp;" "&amp;'All Data'!$M134))),OR($BA$11="",ISNUMBER(SEARCH($BA$11,'All Data'!$K134&amp;" "&amp;'All Data'!$M134))),OR($BA$12="",ISNUMBER(SEARCH($BA$12,'All Data'!$K134&amp;" "&amp;'All Data'!$M134))),OR($BA$13="",ISNUMBER(SEARCH($BA$13,'All Data'!$K134&amp;" "&amp;'All Data'!$M134))),OR($BA$14="",ISNUMBER(SEARCH($BA$14,'All Data'!$K134&amp;" "&amp;'All Data'!$M134))),OR($BA$15="",ISNUMBER(SEARCH($BA$15,'All Data'!$K134&amp;" "&amp;'All Data'!$M134)))),1,0)</f>
        <v>1</v>
      </c>
      <c r="H134">
        <f t="shared" si="12"/>
        <v>1</v>
      </c>
      <c r="I134">
        <f>IF(AND($H134=1,'All Data'!$C134&lt;&gt;"",COUNTIFS($H$2:H133,1,'All Data'!$C$2:$C133,'All Data'!$C134)=0),1,0)</f>
        <v>0</v>
      </c>
      <c r="J134" t="str">
        <f>IF($I134=1,SUM($I$2:I134),"")</f>
        <v/>
      </c>
      <c r="K134">
        <f t="shared" si="13"/>
        <v>1</v>
      </c>
      <c r="L134">
        <f>IF(AND($K134=1,'All Data'!$D134&lt;&gt;"",COUNTIFS($K$2:K133,1,'All Data'!$D$2:$D133,'All Data'!$D134)=0),1,0)</f>
        <v>1</v>
      </c>
      <c r="M134">
        <f>IF($L134=1,SUM($L$2:L134),"")</f>
        <v>28</v>
      </c>
      <c r="N134">
        <f t="shared" si="14"/>
        <v>1</v>
      </c>
      <c r="O134">
        <f>IF(AND($N134=1,'All Data'!$E134&lt;&gt;"",COUNTIFS($N$2:N133,1,'All Data'!$E$2:$E133,'All Data'!$E134)=0),1,0)</f>
        <v>0</v>
      </c>
      <c r="P134" t="str">
        <f>IF($O134=1,SUM($O$2:O134),"")</f>
        <v/>
      </c>
      <c r="Q134">
        <f t="shared" si="15"/>
        <v>1</v>
      </c>
      <c r="R134">
        <f>IF(AND($Q134=1,'All Data'!$F134&lt;&gt;"",COUNTIFS($Q$2:Q133,1,'All Data'!$F$2:$F133,'All Data'!$F134)=0),1,0)</f>
        <v>0</v>
      </c>
      <c r="S134" t="str">
        <f>IF($R134=1,SUM($R$2:R134),"")</f>
        <v/>
      </c>
      <c r="T134">
        <f t="shared" si="16"/>
        <v>1</v>
      </c>
      <c r="U134">
        <f>IF(AND($T134=1,'All Data'!$G134&lt;&gt;"",COUNTIFS($T$2:T133,1,'All Data'!$G$2:$G133,'All Data'!$G134)=0),1,0)</f>
        <v>0</v>
      </c>
      <c r="V134" t="str">
        <f>IF($U134=1,SUM($U$2:U134),"")</f>
        <v/>
      </c>
      <c r="W134">
        <f t="shared" si="17"/>
        <v>0</v>
      </c>
      <c r="X134" t="str">
        <f>IF($W134=1,SUM($W$2:W134),"")</f>
        <v/>
      </c>
    </row>
    <row r="135" spans="1:34" x14ac:dyDescent="0.3">
      <c r="A135">
        <f>IF(OR($BA1="Any",$BA1=""),1,IF('All Data'!$B135=$BA1,1,0))</f>
        <v>1</v>
      </c>
      <c r="B135">
        <f>IF(OR($BA2="Any",$BA2=""),1,IF('All Data'!$C135=$BA2,1,0))</f>
        <v>1</v>
      </c>
      <c r="C135">
        <f>IF(OR($BA3="Any",$BA3=""),1,IF('All Data'!$D135=$BA3,1,0))</f>
        <v>1</v>
      </c>
      <c r="D135">
        <f>IF(OR($BA4="Any",$BA4=""),1,IF('All Data'!$E135=$BA4,1,0))</f>
        <v>1</v>
      </c>
      <c r="E135">
        <f>IF(OR($BA5="Any",$BA5=""),1,IF('All Data'!$F135=$BA5,1,0))</f>
        <v>1</v>
      </c>
      <c r="F135">
        <f>IF(OR($BA6="Any",$BA6=""),1,IF('All Data'!$G135=$BA6,1,0))</f>
        <v>0</v>
      </c>
      <c r="G135">
        <f>IF(AND(OR($BA$8="",ISNUMBER(SEARCH($BA$8,'All Data'!$K135&amp;" "&amp;'All Data'!$M135))),OR($BA$9="",ISNUMBER(SEARCH($BA$9,'All Data'!$K135&amp;" "&amp;'All Data'!$M135))),OR($BA$10="",ISNUMBER(SEARCH($BA$10,'All Data'!$K135&amp;" "&amp;'All Data'!$M135))),OR($BA$11="",ISNUMBER(SEARCH($BA$11,'All Data'!$K135&amp;" "&amp;'All Data'!$M135))),OR($BA$12="",ISNUMBER(SEARCH($BA$12,'All Data'!$K135&amp;" "&amp;'All Data'!$M135))),OR($BA$13="",ISNUMBER(SEARCH($BA$13,'All Data'!$K135&amp;" "&amp;'All Data'!$M135))),OR($BA$14="",ISNUMBER(SEARCH($BA$14,'All Data'!$K135&amp;" "&amp;'All Data'!$M135))),OR($BA$15="",ISNUMBER(SEARCH($BA$15,'All Data'!$K135&amp;" "&amp;'All Data'!$M135)))),1,0)</f>
        <v>1</v>
      </c>
      <c r="H135">
        <f t="shared" si="12"/>
        <v>1</v>
      </c>
      <c r="I135">
        <f>IF(AND($H135=1,'All Data'!$C135&lt;&gt;"",COUNTIFS($H$2:H134,1,'All Data'!$C$2:$C134,'All Data'!$C135)=0),1,0)</f>
        <v>0</v>
      </c>
      <c r="J135" t="str">
        <f>IF($I135=1,SUM($I$2:I135),"")</f>
        <v/>
      </c>
      <c r="K135">
        <f t="shared" si="13"/>
        <v>1</v>
      </c>
      <c r="L135">
        <f>IF(AND($K135=1,'All Data'!$D135&lt;&gt;"",COUNTIFS($K$2:K134,1,'All Data'!$D$2:$D134,'All Data'!$D135)=0),1,0)</f>
        <v>0</v>
      </c>
      <c r="M135" t="str">
        <f>IF($L135=1,SUM($L$2:L135),"")</f>
        <v/>
      </c>
      <c r="N135">
        <f t="shared" si="14"/>
        <v>1</v>
      </c>
      <c r="O135">
        <f>IF(AND($N135=1,'All Data'!$E135&lt;&gt;"",COUNTIFS($N$2:N134,1,'All Data'!$E$2:$E134,'All Data'!$E135)=0),1,0)</f>
        <v>0</v>
      </c>
      <c r="P135" t="str">
        <f>IF($O135=1,SUM($O$2:O135),"")</f>
        <v/>
      </c>
      <c r="Q135">
        <f t="shared" si="15"/>
        <v>1</v>
      </c>
      <c r="R135">
        <f>IF(AND($Q135=1,'All Data'!$F135&lt;&gt;"",COUNTIFS($Q$2:Q134,1,'All Data'!$F$2:$F134,'All Data'!$F135)=0),1,0)</f>
        <v>0</v>
      </c>
      <c r="S135" t="str">
        <f>IF($R135=1,SUM($R$2:R135),"")</f>
        <v/>
      </c>
      <c r="T135">
        <f t="shared" si="16"/>
        <v>1</v>
      </c>
      <c r="U135">
        <f>IF(AND($T135=1,'All Data'!$G135&lt;&gt;"",COUNTIFS($T$2:T134,1,'All Data'!$G$2:$G134,'All Data'!$G135)=0),1,0)</f>
        <v>1</v>
      </c>
      <c r="V135">
        <f>IF($U135=1,SUM($U$2:U135),"")</f>
        <v>56</v>
      </c>
      <c r="W135">
        <f t="shared" si="17"/>
        <v>0</v>
      </c>
      <c r="X135" t="str">
        <f>IF($W135=1,SUM($W$2:W135),"")</f>
        <v/>
      </c>
    </row>
    <row r="136" spans="1:34" x14ac:dyDescent="0.3">
      <c r="A136">
        <f>IF(OR($BA1="Any",$BA1=""),1,IF('All Data'!$B136=$BA1,1,0))</f>
        <v>1</v>
      </c>
      <c r="B136">
        <f>IF(OR($BA2="Any",$BA2=""),1,IF('All Data'!$C136=$BA2,1,0))</f>
        <v>1</v>
      </c>
      <c r="C136">
        <f>IF(OR($BA3="Any",$BA3=""),1,IF('All Data'!$D136=$BA3,1,0))</f>
        <v>1</v>
      </c>
      <c r="D136">
        <f>IF(OR($BA4="Any",$BA4=""),1,IF('All Data'!$E136=$BA4,1,0))</f>
        <v>1</v>
      </c>
      <c r="E136">
        <f>IF(OR($BA5="Any",$BA5=""),1,IF('All Data'!$F136=$BA5,1,0))</f>
        <v>1</v>
      </c>
      <c r="F136">
        <f>IF(OR($BA6="Any",$BA6=""),1,IF('All Data'!$G136=$BA6,1,0))</f>
        <v>0</v>
      </c>
      <c r="G136">
        <f>IF(AND(OR($BA$8="",ISNUMBER(SEARCH($BA$8,'All Data'!$K136&amp;" "&amp;'All Data'!$M136))),OR($BA$9="",ISNUMBER(SEARCH($BA$9,'All Data'!$K136&amp;" "&amp;'All Data'!$M136))),OR($BA$10="",ISNUMBER(SEARCH($BA$10,'All Data'!$K136&amp;" "&amp;'All Data'!$M136))),OR($BA$11="",ISNUMBER(SEARCH($BA$11,'All Data'!$K136&amp;" "&amp;'All Data'!$M136))),OR($BA$12="",ISNUMBER(SEARCH($BA$12,'All Data'!$K136&amp;" "&amp;'All Data'!$M136))),OR($BA$13="",ISNUMBER(SEARCH($BA$13,'All Data'!$K136&amp;" "&amp;'All Data'!$M136))),OR($BA$14="",ISNUMBER(SEARCH($BA$14,'All Data'!$K136&amp;" "&amp;'All Data'!$M136))),OR($BA$15="",ISNUMBER(SEARCH($BA$15,'All Data'!$K136&amp;" "&amp;'All Data'!$M136)))),1,0)</f>
        <v>1</v>
      </c>
      <c r="H136">
        <f t="shared" si="12"/>
        <v>1</v>
      </c>
      <c r="I136">
        <f>IF(AND($H136=1,'All Data'!$C136&lt;&gt;"",COUNTIFS($H$2:H135,1,'All Data'!$C$2:$C135,'All Data'!$C136)=0),1,0)</f>
        <v>0</v>
      </c>
      <c r="J136" t="str">
        <f>IF($I136=1,SUM($I$2:I136),"")</f>
        <v/>
      </c>
      <c r="K136">
        <f t="shared" si="13"/>
        <v>1</v>
      </c>
      <c r="L136">
        <f>IF(AND($K136=1,'All Data'!$D136&lt;&gt;"",COUNTIFS($K$2:K135,1,'All Data'!$D$2:$D135,'All Data'!$D136)=0),1,0)</f>
        <v>0</v>
      </c>
      <c r="M136" t="str">
        <f>IF($L136=1,SUM($L$2:L136),"")</f>
        <v/>
      </c>
      <c r="N136">
        <f t="shared" si="14"/>
        <v>1</v>
      </c>
      <c r="O136">
        <f>IF(AND($N136=1,'All Data'!$E136&lt;&gt;"",COUNTIFS($N$2:N135,1,'All Data'!$E$2:$E135,'All Data'!$E136)=0),1,0)</f>
        <v>0</v>
      </c>
      <c r="P136" t="str">
        <f>IF($O136=1,SUM($O$2:O136),"")</f>
        <v/>
      </c>
      <c r="Q136">
        <f t="shared" si="15"/>
        <v>1</v>
      </c>
      <c r="R136">
        <f>IF(AND($Q136=1,'All Data'!$F136&lt;&gt;"",COUNTIFS($Q$2:Q135,1,'All Data'!$F$2:$F135,'All Data'!$F136)=0),1,0)</f>
        <v>0</v>
      </c>
      <c r="S136" t="str">
        <f>IF($R136=1,SUM($R$2:R136),"")</f>
        <v/>
      </c>
      <c r="T136">
        <f t="shared" si="16"/>
        <v>1</v>
      </c>
      <c r="U136">
        <f>IF(AND($T136=1,'All Data'!$G136&lt;&gt;"",COUNTIFS($T$2:T135,1,'All Data'!$G$2:$G135,'All Data'!$G136)=0),1,0)</f>
        <v>0</v>
      </c>
      <c r="V136" t="str">
        <f>IF($U136=1,SUM($U$2:U136),"")</f>
        <v/>
      </c>
      <c r="W136">
        <f t="shared" si="17"/>
        <v>0</v>
      </c>
      <c r="X136" t="str">
        <f>IF($W136=1,SUM($W$2:W136),"")</f>
        <v/>
      </c>
    </row>
    <row r="137" spans="1:34" x14ac:dyDescent="0.3">
      <c r="A137">
        <f>IF(OR($BA1="Any",$BA1=""),1,IF('All Data'!$B137=$BA1,1,0))</f>
        <v>1</v>
      </c>
      <c r="B137">
        <f>IF(OR($BA2="Any",$BA2=""),1,IF('All Data'!$C137=$BA2,1,0))</f>
        <v>1</v>
      </c>
      <c r="C137">
        <f>IF(OR($BA3="Any",$BA3=""),1,IF('All Data'!$D137=$BA3,1,0))</f>
        <v>1</v>
      </c>
      <c r="D137">
        <f>IF(OR($BA4="Any",$BA4=""),1,IF('All Data'!$E137=$BA4,1,0))</f>
        <v>1</v>
      </c>
      <c r="E137">
        <f>IF(OR($BA5="Any",$BA5=""),1,IF('All Data'!$F137=$BA5,1,0))</f>
        <v>1</v>
      </c>
      <c r="F137">
        <f>IF(OR($BA6="Any",$BA6=""),1,IF('All Data'!$G137=$BA6,1,0))</f>
        <v>0</v>
      </c>
      <c r="G137">
        <f>IF(AND(OR($BA$8="",ISNUMBER(SEARCH($BA$8,'All Data'!$K137&amp;" "&amp;'All Data'!$M137))),OR($BA$9="",ISNUMBER(SEARCH($BA$9,'All Data'!$K137&amp;" "&amp;'All Data'!$M137))),OR($BA$10="",ISNUMBER(SEARCH($BA$10,'All Data'!$K137&amp;" "&amp;'All Data'!$M137))),OR($BA$11="",ISNUMBER(SEARCH($BA$11,'All Data'!$K137&amp;" "&amp;'All Data'!$M137))),OR($BA$12="",ISNUMBER(SEARCH($BA$12,'All Data'!$K137&amp;" "&amp;'All Data'!$M137))),OR($BA$13="",ISNUMBER(SEARCH($BA$13,'All Data'!$K137&amp;" "&amp;'All Data'!$M137))),OR($BA$14="",ISNUMBER(SEARCH($BA$14,'All Data'!$K137&amp;" "&amp;'All Data'!$M137))),OR($BA$15="",ISNUMBER(SEARCH($BA$15,'All Data'!$K137&amp;" "&amp;'All Data'!$M137)))),1,0)</f>
        <v>1</v>
      </c>
      <c r="H137">
        <f t="shared" si="12"/>
        <v>1</v>
      </c>
      <c r="I137">
        <f>IF(AND($H137=1,'All Data'!$C137&lt;&gt;"",COUNTIFS($H$2:H136,1,'All Data'!$C$2:$C136,'All Data'!$C137)=0),1,0)</f>
        <v>0</v>
      </c>
      <c r="J137" t="str">
        <f>IF($I137=1,SUM($I$2:I137),"")</f>
        <v/>
      </c>
      <c r="K137">
        <f t="shared" si="13"/>
        <v>1</v>
      </c>
      <c r="L137">
        <f>IF(AND($K137=1,'All Data'!$D137&lt;&gt;"",COUNTIFS($K$2:K136,1,'All Data'!$D$2:$D136,'All Data'!$D137)=0),1,0)</f>
        <v>0</v>
      </c>
      <c r="M137" t="str">
        <f>IF($L137=1,SUM($L$2:L137),"")</f>
        <v/>
      </c>
      <c r="N137">
        <f t="shared" si="14"/>
        <v>1</v>
      </c>
      <c r="O137">
        <f>IF(AND($N137=1,'All Data'!$E137&lt;&gt;"",COUNTIFS($N$2:N136,1,'All Data'!$E$2:$E136,'All Data'!$E137)=0),1,0)</f>
        <v>0</v>
      </c>
      <c r="P137" t="str">
        <f>IF($O137=1,SUM($O$2:O137),"")</f>
        <v/>
      </c>
      <c r="Q137">
        <f t="shared" si="15"/>
        <v>1</v>
      </c>
      <c r="R137">
        <f>IF(AND($Q137=1,'All Data'!$F137&lt;&gt;"",COUNTIFS($Q$2:Q136,1,'All Data'!$F$2:$F136,'All Data'!$F137)=0),1,0)</f>
        <v>0</v>
      </c>
      <c r="S137" t="str">
        <f>IF($R137=1,SUM($R$2:R137),"")</f>
        <v/>
      </c>
      <c r="T137">
        <f t="shared" si="16"/>
        <v>1</v>
      </c>
      <c r="U137">
        <f>IF(AND($T137=1,'All Data'!$G137&lt;&gt;"",COUNTIFS($T$2:T136,1,'All Data'!$G$2:$G136,'All Data'!$G137)=0),1,0)</f>
        <v>0</v>
      </c>
      <c r="V137" t="str">
        <f>IF($U137=1,SUM($U$2:U137),"")</f>
        <v/>
      </c>
      <c r="W137">
        <f t="shared" si="17"/>
        <v>0</v>
      </c>
      <c r="X137" t="str">
        <f>IF($W137=1,SUM($W$2:W137),"")</f>
        <v/>
      </c>
    </row>
    <row r="138" spans="1:34" x14ac:dyDescent="0.3">
      <c r="A138">
        <f>IF(OR($BA1="Any",$BA1=""),1,IF('All Data'!$B138=$BA1,1,0))</f>
        <v>1</v>
      </c>
      <c r="B138">
        <f>IF(OR($BA2="Any",$BA2=""),1,IF('All Data'!$C138=$BA2,1,0))</f>
        <v>1</v>
      </c>
      <c r="C138">
        <f>IF(OR($BA3="Any",$BA3=""),1,IF('All Data'!$D138=$BA3,1,0))</f>
        <v>1</v>
      </c>
      <c r="D138">
        <f>IF(OR($BA4="Any",$BA4=""),1,IF('All Data'!$E138=$BA4,1,0))</f>
        <v>1</v>
      </c>
      <c r="E138">
        <f>IF(OR($BA5="Any",$BA5=""),1,IF('All Data'!$F138=$BA5,1,0))</f>
        <v>1</v>
      </c>
      <c r="F138">
        <f>IF(OR($BA6="Any",$BA6=""),1,IF('All Data'!$G138=$BA6,1,0))</f>
        <v>0</v>
      </c>
      <c r="G138">
        <f>IF(AND(OR($BA$8="",ISNUMBER(SEARCH($BA$8,'All Data'!$K138&amp;" "&amp;'All Data'!$M138))),OR($BA$9="",ISNUMBER(SEARCH($BA$9,'All Data'!$K138&amp;" "&amp;'All Data'!$M138))),OR($BA$10="",ISNUMBER(SEARCH($BA$10,'All Data'!$K138&amp;" "&amp;'All Data'!$M138))),OR($BA$11="",ISNUMBER(SEARCH($BA$11,'All Data'!$K138&amp;" "&amp;'All Data'!$M138))),OR($BA$12="",ISNUMBER(SEARCH($BA$12,'All Data'!$K138&amp;" "&amp;'All Data'!$M138))),OR($BA$13="",ISNUMBER(SEARCH($BA$13,'All Data'!$K138&amp;" "&amp;'All Data'!$M138))),OR($BA$14="",ISNUMBER(SEARCH($BA$14,'All Data'!$K138&amp;" "&amp;'All Data'!$M138))),OR($BA$15="",ISNUMBER(SEARCH($BA$15,'All Data'!$K138&amp;" "&amp;'All Data'!$M138)))),1,0)</f>
        <v>1</v>
      </c>
      <c r="H138">
        <f t="shared" si="12"/>
        <v>1</v>
      </c>
      <c r="I138">
        <f>IF(AND($H138=1,'All Data'!$C138&lt;&gt;"",COUNTIFS($H$2:H137,1,'All Data'!$C$2:$C137,'All Data'!$C138)=0),1,0)</f>
        <v>0</v>
      </c>
      <c r="J138" t="str">
        <f>IF($I138=1,SUM($I$2:I138),"")</f>
        <v/>
      </c>
      <c r="K138">
        <f t="shared" si="13"/>
        <v>1</v>
      </c>
      <c r="L138">
        <f>IF(AND($K138=1,'All Data'!$D138&lt;&gt;"",COUNTIFS($K$2:K137,1,'All Data'!$D$2:$D137,'All Data'!$D138)=0),1,0)</f>
        <v>0</v>
      </c>
      <c r="M138" t="str">
        <f>IF($L138=1,SUM($L$2:L138),"")</f>
        <v/>
      </c>
      <c r="N138">
        <f t="shared" si="14"/>
        <v>1</v>
      </c>
      <c r="O138">
        <f>IF(AND($N138=1,'All Data'!$E138&lt;&gt;"",COUNTIFS($N$2:N137,1,'All Data'!$E$2:$E137,'All Data'!$E138)=0),1,0)</f>
        <v>0</v>
      </c>
      <c r="P138" t="str">
        <f>IF($O138=1,SUM($O$2:O138),"")</f>
        <v/>
      </c>
      <c r="Q138">
        <f t="shared" si="15"/>
        <v>1</v>
      </c>
      <c r="R138">
        <f>IF(AND($Q138=1,'All Data'!$F138&lt;&gt;"",COUNTIFS($Q$2:Q137,1,'All Data'!$F$2:$F137,'All Data'!$F138)=0),1,0)</f>
        <v>0</v>
      </c>
      <c r="S138" t="str">
        <f>IF($R138=1,SUM($R$2:R138),"")</f>
        <v/>
      </c>
      <c r="T138">
        <f t="shared" si="16"/>
        <v>1</v>
      </c>
      <c r="U138">
        <f>IF(AND($T138=1,'All Data'!$G138&lt;&gt;"",COUNTIFS($T$2:T137,1,'All Data'!$G$2:$G137,'All Data'!$G138)=0),1,0)</f>
        <v>0</v>
      </c>
      <c r="V138" t="str">
        <f>IF($U138=1,SUM($U$2:U138),"")</f>
        <v/>
      </c>
      <c r="W138">
        <f t="shared" si="17"/>
        <v>0</v>
      </c>
      <c r="X138" t="str">
        <f>IF($W138=1,SUM($W$2:W138),"")</f>
        <v/>
      </c>
    </row>
    <row r="139" spans="1:34" x14ac:dyDescent="0.3">
      <c r="A139">
        <f>IF(OR($BA1="Any",$BA1=""),1,IF('All Data'!$B139=$BA1,1,0))</f>
        <v>1</v>
      </c>
      <c r="B139">
        <f>IF(OR($BA2="Any",$BA2=""),1,IF('All Data'!$C139=$BA2,1,0))</f>
        <v>1</v>
      </c>
      <c r="C139">
        <f>IF(OR($BA3="Any",$BA3=""),1,IF('All Data'!$D139=$BA3,1,0))</f>
        <v>1</v>
      </c>
      <c r="D139">
        <f>IF(OR($BA4="Any",$BA4=""),1,IF('All Data'!$E139=$BA4,1,0))</f>
        <v>1</v>
      </c>
      <c r="E139">
        <f>IF(OR($BA5="Any",$BA5=""),1,IF('All Data'!$F139=$BA5,1,0))</f>
        <v>1</v>
      </c>
      <c r="F139">
        <f>IF(OR($BA6="Any",$BA6=""),1,IF('All Data'!$G139=$BA6,1,0))</f>
        <v>0</v>
      </c>
      <c r="G139">
        <f>IF(AND(OR($BA$8="",ISNUMBER(SEARCH($BA$8,'All Data'!$K139&amp;" "&amp;'All Data'!$M139))),OR($BA$9="",ISNUMBER(SEARCH($BA$9,'All Data'!$K139&amp;" "&amp;'All Data'!$M139))),OR($BA$10="",ISNUMBER(SEARCH($BA$10,'All Data'!$K139&amp;" "&amp;'All Data'!$M139))),OR($BA$11="",ISNUMBER(SEARCH($BA$11,'All Data'!$K139&amp;" "&amp;'All Data'!$M139))),OR($BA$12="",ISNUMBER(SEARCH($BA$12,'All Data'!$K139&amp;" "&amp;'All Data'!$M139))),OR($BA$13="",ISNUMBER(SEARCH($BA$13,'All Data'!$K139&amp;" "&amp;'All Data'!$M139))),OR($BA$14="",ISNUMBER(SEARCH($BA$14,'All Data'!$K139&amp;" "&amp;'All Data'!$M139))),OR($BA$15="",ISNUMBER(SEARCH($BA$15,'All Data'!$K139&amp;" "&amp;'All Data'!$M139)))),1,0)</f>
        <v>1</v>
      </c>
      <c r="H139">
        <f t="shared" si="12"/>
        <v>1</v>
      </c>
      <c r="I139">
        <f>IF(AND($H139=1,'All Data'!$C139&lt;&gt;"",COUNTIFS($H$2:H138,1,'All Data'!$C$2:$C138,'All Data'!$C139)=0),1,0)</f>
        <v>0</v>
      </c>
      <c r="J139" t="str">
        <f>IF($I139=1,SUM($I$2:I139),"")</f>
        <v/>
      </c>
      <c r="K139">
        <f t="shared" si="13"/>
        <v>1</v>
      </c>
      <c r="L139">
        <f>IF(AND($K139=1,'All Data'!$D139&lt;&gt;"",COUNTIFS($K$2:K138,1,'All Data'!$D$2:$D138,'All Data'!$D139)=0),1,0)</f>
        <v>0</v>
      </c>
      <c r="M139" t="str">
        <f>IF($L139=1,SUM($L$2:L139),"")</f>
        <v/>
      </c>
      <c r="N139">
        <f t="shared" si="14"/>
        <v>1</v>
      </c>
      <c r="O139">
        <f>IF(AND($N139=1,'All Data'!$E139&lt;&gt;"",COUNTIFS($N$2:N138,1,'All Data'!$E$2:$E138,'All Data'!$E139)=0),1,0)</f>
        <v>0</v>
      </c>
      <c r="P139" t="str">
        <f>IF($O139=1,SUM($O$2:O139),"")</f>
        <v/>
      </c>
      <c r="Q139">
        <f t="shared" si="15"/>
        <v>1</v>
      </c>
      <c r="R139">
        <f>IF(AND($Q139=1,'All Data'!$F139&lt;&gt;"",COUNTIFS($Q$2:Q138,1,'All Data'!$F$2:$F138,'All Data'!$F139)=0),1,0)</f>
        <v>0</v>
      </c>
      <c r="S139" t="str">
        <f>IF($R139=1,SUM($R$2:R139),"")</f>
        <v/>
      </c>
      <c r="T139">
        <f t="shared" si="16"/>
        <v>1</v>
      </c>
      <c r="U139">
        <f>IF(AND($T139=1,'All Data'!$G139&lt;&gt;"",COUNTIFS($T$2:T138,1,'All Data'!$G$2:$G138,'All Data'!$G139)=0),1,0)</f>
        <v>0</v>
      </c>
      <c r="V139" t="str">
        <f>IF($U139=1,SUM($U$2:U139),"")</f>
        <v/>
      </c>
      <c r="W139">
        <f t="shared" si="17"/>
        <v>0</v>
      </c>
      <c r="X139" t="str">
        <f>IF($W139=1,SUM($W$2:W139),"")</f>
        <v/>
      </c>
    </row>
    <row r="140" spans="1:34" x14ac:dyDescent="0.3">
      <c r="A140">
        <f>IF(OR($BA1="Any",$BA1=""),1,IF('All Data'!$B140=$BA1,1,0))</f>
        <v>1</v>
      </c>
      <c r="B140">
        <f>IF(OR($BA2="Any",$BA2=""),1,IF('All Data'!$C140=$BA2,1,0))</f>
        <v>1</v>
      </c>
      <c r="C140">
        <f>IF(OR($BA3="Any",$BA3=""),1,IF('All Data'!$D140=$BA3,1,0))</f>
        <v>1</v>
      </c>
      <c r="D140">
        <f>IF(OR($BA4="Any",$BA4=""),1,IF('All Data'!$E140=$BA4,1,0))</f>
        <v>1</v>
      </c>
      <c r="E140">
        <f>IF(OR($BA5="Any",$BA5=""),1,IF('All Data'!$F140=$BA5,1,0))</f>
        <v>1</v>
      </c>
      <c r="F140">
        <f>IF(OR($BA6="Any",$BA6=""),1,IF('All Data'!$G140=$BA6,1,0))</f>
        <v>0</v>
      </c>
      <c r="G140">
        <f>IF(AND(OR($BA$8="",ISNUMBER(SEARCH($BA$8,'All Data'!$K140&amp;" "&amp;'All Data'!$M140))),OR($BA$9="",ISNUMBER(SEARCH($BA$9,'All Data'!$K140&amp;" "&amp;'All Data'!$M140))),OR($BA$10="",ISNUMBER(SEARCH($BA$10,'All Data'!$K140&amp;" "&amp;'All Data'!$M140))),OR($BA$11="",ISNUMBER(SEARCH($BA$11,'All Data'!$K140&amp;" "&amp;'All Data'!$M140))),OR($BA$12="",ISNUMBER(SEARCH($BA$12,'All Data'!$K140&amp;" "&amp;'All Data'!$M140))),OR($BA$13="",ISNUMBER(SEARCH($BA$13,'All Data'!$K140&amp;" "&amp;'All Data'!$M140))),OR($BA$14="",ISNUMBER(SEARCH($BA$14,'All Data'!$K140&amp;" "&amp;'All Data'!$M140))),OR($BA$15="",ISNUMBER(SEARCH($BA$15,'All Data'!$K140&amp;" "&amp;'All Data'!$M140)))),1,0)</f>
        <v>1</v>
      </c>
      <c r="H140">
        <f t="shared" si="12"/>
        <v>1</v>
      </c>
      <c r="I140">
        <f>IF(AND($H140=1,'All Data'!$C140&lt;&gt;"",COUNTIFS($H$2:H139,1,'All Data'!$C$2:$C139,'All Data'!$C140)=0),1,0)</f>
        <v>0</v>
      </c>
      <c r="J140" t="str">
        <f>IF($I140=1,SUM($I$2:I140),"")</f>
        <v/>
      </c>
      <c r="K140">
        <f t="shared" si="13"/>
        <v>1</v>
      </c>
      <c r="L140">
        <f>IF(AND($K140=1,'All Data'!$D140&lt;&gt;"",COUNTIFS($K$2:K139,1,'All Data'!$D$2:$D139,'All Data'!$D140)=0),1,0)</f>
        <v>1</v>
      </c>
      <c r="M140">
        <f>IF($L140=1,SUM($L$2:L140),"")</f>
        <v>29</v>
      </c>
      <c r="N140">
        <f t="shared" si="14"/>
        <v>1</v>
      </c>
      <c r="O140">
        <f>IF(AND($N140=1,'All Data'!$E140&lt;&gt;"",COUNTIFS($N$2:N139,1,'All Data'!$E$2:$E139,'All Data'!$E140)=0),1,0)</f>
        <v>0</v>
      </c>
      <c r="P140" t="str">
        <f>IF($O140=1,SUM($O$2:O140),"")</f>
        <v/>
      </c>
      <c r="Q140">
        <f t="shared" si="15"/>
        <v>1</v>
      </c>
      <c r="R140">
        <f>IF(AND($Q140=1,'All Data'!$F140&lt;&gt;"",COUNTIFS($Q$2:Q139,1,'All Data'!$F$2:$F139,'All Data'!$F140)=0),1,0)</f>
        <v>0</v>
      </c>
      <c r="S140" t="str">
        <f>IF($R140=1,SUM($R$2:R140),"")</f>
        <v/>
      </c>
      <c r="T140">
        <f t="shared" si="16"/>
        <v>1</v>
      </c>
      <c r="U140">
        <f>IF(AND($T140=1,'All Data'!$G140&lt;&gt;"",COUNTIFS($T$2:T139,1,'All Data'!$G$2:$G139,'All Data'!$G140)=0),1,0)</f>
        <v>0</v>
      </c>
      <c r="V140" t="str">
        <f>IF($U140=1,SUM($U$2:U140),"")</f>
        <v/>
      </c>
      <c r="W140">
        <f t="shared" si="17"/>
        <v>0</v>
      </c>
      <c r="X140" t="str">
        <f>IF($W140=1,SUM($W$2:W140),"")</f>
        <v/>
      </c>
    </row>
    <row r="141" spans="1:34" x14ac:dyDescent="0.3">
      <c r="A141">
        <f>IF(OR($BA1="Any",$BA1=""),1,IF('All Data'!$B141=$BA1,1,0))</f>
        <v>1</v>
      </c>
      <c r="B141">
        <f>IF(OR($BA2="Any",$BA2=""),1,IF('All Data'!$C141=$BA2,1,0))</f>
        <v>1</v>
      </c>
      <c r="C141">
        <f>IF(OR($BA3="Any",$BA3=""),1,IF('All Data'!$D141=$BA3,1,0))</f>
        <v>1</v>
      </c>
      <c r="D141">
        <f>IF(OR($BA4="Any",$BA4=""),1,IF('All Data'!$E141=$BA4,1,0))</f>
        <v>1</v>
      </c>
      <c r="E141">
        <f>IF(OR($BA5="Any",$BA5=""),1,IF('All Data'!$F141=$BA5,1,0))</f>
        <v>1</v>
      </c>
      <c r="F141">
        <f>IF(OR($BA6="Any",$BA6=""),1,IF('All Data'!$G141=$BA6,1,0))</f>
        <v>0</v>
      </c>
      <c r="G141">
        <f>IF(AND(OR($BA$8="",ISNUMBER(SEARCH($BA$8,'All Data'!$K141&amp;" "&amp;'All Data'!$M141))),OR($BA$9="",ISNUMBER(SEARCH($BA$9,'All Data'!$K141&amp;" "&amp;'All Data'!$M141))),OR($BA$10="",ISNUMBER(SEARCH($BA$10,'All Data'!$K141&amp;" "&amp;'All Data'!$M141))),OR($BA$11="",ISNUMBER(SEARCH($BA$11,'All Data'!$K141&amp;" "&amp;'All Data'!$M141))),OR($BA$12="",ISNUMBER(SEARCH($BA$12,'All Data'!$K141&amp;" "&amp;'All Data'!$M141))),OR($BA$13="",ISNUMBER(SEARCH($BA$13,'All Data'!$K141&amp;" "&amp;'All Data'!$M141))),OR($BA$14="",ISNUMBER(SEARCH($BA$14,'All Data'!$K141&amp;" "&amp;'All Data'!$M141))),OR($BA$15="",ISNUMBER(SEARCH($BA$15,'All Data'!$K141&amp;" "&amp;'All Data'!$M141)))),1,0)</f>
        <v>1</v>
      </c>
      <c r="H141">
        <f t="shared" si="12"/>
        <v>1</v>
      </c>
      <c r="I141">
        <f>IF(AND($H141=1,'All Data'!$C141&lt;&gt;"",COUNTIFS($H$2:H140,1,'All Data'!$C$2:$C140,'All Data'!$C141)=0),1,0)</f>
        <v>0</v>
      </c>
      <c r="J141" t="str">
        <f>IF($I141=1,SUM($I$2:I141),"")</f>
        <v/>
      </c>
      <c r="K141">
        <f t="shared" si="13"/>
        <v>1</v>
      </c>
      <c r="L141">
        <f>IF(AND($K141=1,'All Data'!$D141&lt;&gt;"",COUNTIFS($K$2:K140,1,'All Data'!$D$2:$D140,'All Data'!$D141)=0),1,0)</f>
        <v>1</v>
      </c>
      <c r="M141">
        <f>IF($L141=1,SUM($L$2:L141),"")</f>
        <v>30</v>
      </c>
      <c r="N141">
        <f t="shared" si="14"/>
        <v>1</v>
      </c>
      <c r="O141">
        <f>IF(AND($N141=1,'All Data'!$E141&lt;&gt;"",COUNTIFS($N$2:N140,1,'All Data'!$E$2:$E140,'All Data'!$E141)=0),1,0)</f>
        <v>0</v>
      </c>
      <c r="P141" t="str">
        <f>IF($O141=1,SUM($O$2:O141),"")</f>
        <v/>
      </c>
      <c r="Q141">
        <f t="shared" si="15"/>
        <v>1</v>
      </c>
      <c r="R141">
        <f>IF(AND($Q141=1,'All Data'!$F141&lt;&gt;"",COUNTIFS($Q$2:Q140,1,'All Data'!$F$2:$F140,'All Data'!$F141)=0),1,0)</f>
        <v>0</v>
      </c>
      <c r="S141" t="str">
        <f>IF($R141=1,SUM($R$2:R141),"")</f>
        <v/>
      </c>
      <c r="T141">
        <f t="shared" si="16"/>
        <v>1</v>
      </c>
      <c r="U141">
        <f>IF(AND($T141=1,'All Data'!$G141&lt;&gt;"",COUNTIFS($T$2:T140,1,'All Data'!$G$2:$G140,'All Data'!$G141)=0),1,0)</f>
        <v>0</v>
      </c>
      <c r="V141" t="str">
        <f>IF($U141=1,SUM($U$2:U141),"")</f>
        <v/>
      </c>
      <c r="W141">
        <f t="shared" si="17"/>
        <v>0</v>
      </c>
      <c r="X141" t="str">
        <f>IF($W141=1,SUM($W$2:W141),"")</f>
        <v/>
      </c>
    </row>
    <row r="142" spans="1:34" x14ac:dyDescent="0.3">
      <c r="A142">
        <f>IF(OR($BA1="Any",$BA1=""),1,IF('All Data'!$B142=$BA1,1,0))</f>
        <v>1</v>
      </c>
      <c r="B142">
        <f>IF(OR($BA2="Any",$BA2=""),1,IF('All Data'!$C142=$BA2,1,0))</f>
        <v>1</v>
      </c>
      <c r="C142">
        <f>IF(OR($BA3="Any",$BA3=""),1,IF('All Data'!$D142=$BA3,1,0))</f>
        <v>1</v>
      </c>
      <c r="D142">
        <f>IF(OR($BA4="Any",$BA4=""),1,IF('All Data'!$E142=$BA4,1,0))</f>
        <v>1</v>
      </c>
      <c r="E142">
        <f>IF(OR($BA5="Any",$BA5=""),1,IF('All Data'!$F142=$BA5,1,0))</f>
        <v>1</v>
      </c>
      <c r="F142">
        <f>IF(OR($BA6="Any",$BA6=""),1,IF('All Data'!$G142=$BA6,1,0))</f>
        <v>0</v>
      </c>
      <c r="G142">
        <f>IF(AND(OR($BA$8="",ISNUMBER(SEARCH($BA$8,'All Data'!$K142&amp;" "&amp;'All Data'!$M142))),OR($BA$9="",ISNUMBER(SEARCH($BA$9,'All Data'!$K142&amp;" "&amp;'All Data'!$M142))),OR($BA$10="",ISNUMBER(SEARCH($BA$10,'All Data'!$K142&amp;" "&amp;'All Data'!$M142))),OR($BA$11="",ISNUMBER(SEARCH($BA$11,'All Data'!$K142&amp;" "&amp;'All Data'!$M142))),OR($BA$12="",ISNUMBER(SEARCH($BA$12,'All Data'!$K142&amp;" "&amp;'All Data'!$M142))),OR($BA$13="",ISNUMBER(SEARCH($BA$13,'All Data'!$K142&amp;" "&amp;'All Data'!$M142))),OR($BA$14="",ISNUMBER(SEARCH($BA$14,'All Data'!$K142&amp;" "&amp;'All Data'!$M142))),OR($BA$15="",ISNUMBER(SEARCH($BA$15,'All Data'!$K142&amp;" "&amp;'All Data'!$M142)))),1,0)</f>
        <v>1</v>
      </c>
      <c r="H142">
        <f t="shared" si="12"/>
        <v>1</v>
      </c>
      <c r="I142">
        <f>IF(AND($H142=1,'All Data'!$C142&lt;&gt;"",COUNTIFS($H$2:H141,1,'All Data'!$C$2:$C141,'All Data'!$C142)=0),1,0)</f>
        <v>0</v>
      </c>
      <c r="J142" t="str">
        <f>IF($I142=1,SUM($I$2:I142),"")</f>
        <v/>
      </c>
      <c r="K142">
        <f t="shared" si="13"/>
        <v>1</v>
      </c>
      <c r="L142">
        <f>IF(AND($K142=1,'All Data'!$D142&lt;&gt;"",COUNTIFS($K$2:K141,1,'All Data'!$D$2:$D141,'All Data'!$D142)=0),1,0)</f>
        <v>0</v>
      </c>
      <c r="M142" t="str">
        <f>IF($L142=1,SUM($L$2:L142),"")</f>
        <v/>
      </c>
      <c r="N142">
        <f t="shared" si="14"/>
        <v>1</v>
      </c>
      <c r="O142">
        <f>IF(AND($N142=1,'All Data'!$E142&lt;&gt;"",COUNTIFS($N$2:N141,1,'All Data'!$E$2:$E141,'All Data'!$E142)=0),1,0)</f>
        <v>0</v>
      </c>
      <c r="P142" t="str">
        <f>IF($O142=1,SUM($O$2:O142),"")</f>
        <v/>
      </c>
      <c r="Q142">
        <f t="shared" si="15"/>
        <v>1</v>
      </c>
      <c r="R142">
        <f>IF(AND($Q142=1,'All Data'!$F142&lt;&gt;"",COUNTIFS($Q$2:Q141,1,'All Data'!$F$2:$F141,'All Data'!$F142)=0),1,0)</f>
        <v>0</v>
      </c>
      <c r="S142" t="str">
        <f>IF($R142=1,SUM($R$2:R142),"")</f>
        <v/>
      </c>
      <c r="T142">
        <f t="shared" si="16"/>
        <v>1</v>
      </c>
      <c r="U142">
        <f>IF(AND($T142=1,'All Data'!$G142&lt;&gt;"",COUNTIFS($T$2:T141,1,'All Data'!$G$2:$G141,'All Data'!$G142)=0),1,0)</f>
        <v>0</v>
      </c>
      <c r="V142" t="str">
        <f>IF($U142=1,SUM($U$2:U142),"")</f>
        <v/>
      </c>
      <c r="W142">
        <f t="shared" si="17"/>
        <v>0</v>
      </c>
      <c r="X142" t="str">
        <f>IF($W142=1,SUM($W$2:W142),"")</f>
        <v/>
      </c>
    </row>
    <row r="143" spans="1:34" x14ac:dyDescent="0.3">
      <c r="A143">
        <f>IF(OR($BA1="Any",$BA1=""),1,IF('All Data'!$B143=$BA1,1,0))</f>
        <v>1</v>
      </c>
      <c r="B143">
        <f>IF(OR($BA2="Any",$BA2=""),1,IF('All Data'!$C143=$BA2,1,0))</f>
        <v>1</v>
      </c>
      <c r="C143">
        <f>IF(OR($BA3="Any",$BA3=""),1,IF('All Data'!$D143=$BA3,1,0))</f>
        <v>1</v>
      </c>
      <c r="D143">
        <f>IF(OR($BA4="Any",$BA4=""),1,IF('All Data'!$E143=$BA4,1,0))</f>
        <v>1</v>
      </c>
      <c r="E143">
        <f>IF(OR($BA5="Any",$BA5=""),1,IF('All Data'!$F143=$BA5,1,0))</f>
        <v>1</v>
      </c>
      <c r="F143">
        <f>IF(OR($BA6="Any",$BA6=""),1,IF('All Data'!$G143=$BA6,1,0))</f>
        <v>0</v>
      </c>
      <c r="G143">
        <f>IF(AND(OR($BA$8="",ISNUMBER(SEARCH($BA$8,'All Data'!$K143&amp;" "&amp;'All Data'!$M143))),OR($BA$9="",ISNUMBER(SEARCH($BA$9,'All Data'!$K143&amp;" "&amp;'All Data'!$M143))),OR($BA$10="",ISNUMBER(SEARCH($BA$10,'All Data'!$K143&amp;" "&amp;'All Data'!$M143))),OR($BA$11="",ISNUMBER(SEARCH($BA$11,'All Data'!$K143&amp;" "&amp;'All Data'!$M143))),OR($BA$12="",ISNUMBER(SEARCH($BA$12,'All Data'!$K143&amp;" "&amp;'All Data'!$M143))),OR($BA$13="",ISNUMBER(SEARCH($BA$13,'All Data'!$K143&amp;" "&amp;'All Data'!$M143))),OR($BA$14="",ISNUMBER(SEARCH($BA$14,'All Data'!$K143&amp;" "&amp;'All Data'!$M143))),OR($BA$15="",ISNUMBER(SEARCH($BA$15,'All Data'!$K143&amp;" "&amp;'All Data'!$M143)))),1,0)</f>
        <v>1</v>
      </c>
      <c r="H143">
        <f t="shared" si="12"/>
        <v>1</v>
      </c>
      <c r="I143">
        <f>IF(AND($H143=1,'All Data'!$C143&lt;&gt;"",COUNTIFS($H$2:H142,1,'All Data'!$C$2:$C142,'All Data'!$C143)=0),1,0)</f>
        <v>0</v>
      </c>
      <c r="J143" t="str">
        <f>IF($I143=1,SUM($I$2:I143),"")</f>
        <v/>
      </c>
      <c r="K143">
        <f t="shared" si="13"/>
        <v>1</v>
      </c>
      <c r="L143">
        <f>IF(AND($K143=1,'All Data'!$D143&lt;&gt;"",COUNTIFS($K$2:K142,1,'All Data'!$D$2:$D142,'All Data'!$D143)=0),1,0)</f>
        <v>0</v>
      </c>
      <c r="M143" t="str">
        <f>IF($L143=1,SUM($L$2:L143),"")</f>
        <v/>
      </c>
      <c r="N143">
        <f t="shared" si="14"/>
        <v>1</v>
      </c>
      <c r="O143">
        <f>IF(AND($N143=1,'All Data'!$E143&lt;&gt;"",COUNTIFS($N$2:N142,1,'All Data'!$E$2:$E142,'All Data'!$E143)=0),1,0)</f>
        <v>0</v>
      </c>
      <c r="P143" t="str">
        <f>IF($O143=1,SUM($O$2:O143),"")</f>
        <v/>
      </c>
      <c r="Q143">
        <f t="shared" si="15"/>
        <v>1</v>
      </c>
      <c r="R143">
        <f>IF(AND($Q143=1,'All Data'!$F143&lt;&gt;"",COUNTIFS($Q$2:Q142,1,'All Data'!$F$2:$F142,'All Data'!$F143)=0),1,0)</f>
        <v>0</v>
      </c>
      <c r="S143" t="str">
        <f>IF($R143=1,SUM($R$2:R143),"")</f>
        <v/>
      </c>
      <c r="T143">
        <f t="shared" si="16"/>
        <v>1</v>
      </c>
      <c r="U143">
        <f>IF(AND($T143=1,'All Data'!$G143&lt;&gt;"",COUNTIFS($T$2:T142,1,'All Data'!$G$2:$G142,'All Data'!$G143)=0),1,0)</f>
        <v>0</v>
      </c>
      <c r="V143" t="str">
        <f>IF($U143=1,SUM($U$2:U143),"")</f>
        <v/>
      </c>
      <c r="W143">
        <f t="shared" si="17"/>
        <v>0</v>
      </c>
      <c r="X143" t="str">
        <f>IF($W143=1,SUM($W$2:W143),"")</f>
        <v/>
      </c>
    </row>
    <row r="144" spans="1:34" x14ac:dyDescent="0.3">
      <c r="A144">
        <f>IF(OR($BA1="Any",$BA1=""),1,IF('All Data'!$B144=$BA1,1,0))</f>
        <v>1</v>
      </c>
      <c r="B144">
        <f>IF(OR($BA2="Any",$BA2=""),1,IF('All Data'!$C144=$BA2,1,0))</f>
        <v>1</v>
      </c>
      <c r="C144">
        <f>IF(OR($BA3="Any",$BA3=""),1,IF('All Data'!$D144=$BA3,1,0))</f>
        <v>1</v>
      </c>
      <c r="D144">
        <f>IF(OR($BA4="Any",$BA4=""),1,IF('All Data'!$E144=$BA4,1,0))</f>
        <v>1</v>
      </c>
      <c r="E144">
        <f>IF(OR($BA5="Any",$BA5=""),1,IF('All Data'!$F144=$BA5,1,0))</f>
        <v>1</v>
      </c>
      <c r="F144">
        <f>IF(OR($BA6="Any",$BA6=""),1,IF('All Data'!$G144=$BA6,1,0))</f>
        <v>0</v>
      </c>
      <c r="G144">
        <f>IF(AND(OR($BA$8="",ISNUMBER(SEARCH($BA$8,'All Data'!$K144&amp;" "&amp;'All Data'!$M144))),OR($BA$9="",ISNUMBER(SEARCH($BA$9,'All Data'!$K144&amp;" "&amp;'All Data'!$M144))),OR($BA$10="",ISNUMBER(SEARCH($BA$10,'All Data'!$K144&amp;" "&amp;'All Data'!$M144))),OR($BA$11="",ISNUMBER(SEARCH($BA$11,'All Data'!$K144&amp;" "&amp;'All Data'!$M144))),OR($BA$12="",ISNUMBER(SEARCH($BA$12,'All Data'!$K144&amp;" "&amp;'All Data'!$M144))),OR($BA$13="",ISNUMBER(SEARCH($BA$13,'All Data'!$K144&amp;" "&amp;'All Data'!$M144))),OR($BA$14="",ISNUMBER(SEARCH($BA$14,'All Data'!$K144&amp;" "&amp;'All Data'!$M144))),OR($BA$15="",ISNUMBER(SEARCH($BA$15,'All Data'!$K144&amp;" "&amp;'All Data'!$M144)))),1,0)</f>
        <v>1</v>
      </c>
      <c r="H144">
        <f t="shared" si="12"/>
        <v>1</v>
      </c>
      <c r="I144">
        <f>IF(AND($H144=1,'All Data'!$C144&lt;&gt;"",COUNTIFS($H$2:H143,1,'All Data'!$C$2:$C143,'All Data'!$C144)=0),1,0)</f>
        <v>0</v>
      </c>
      <c r="J144" t="str">
        <f>IF($I144=1,SUM($I$2:I144),"")</f>
        <v/>
      </c>
      <c r="K144">
        <f t="shared" si="13"/>
        <v>1</v>
      </c>
      <c r="L144">
        <f>IF(AND($K144=1,'All Data'!$D144&lt;&gt;"",COUNTIFS($K$2:K143,1,'All Data'!$D$2:$D143,'All Data'!$D144)=0),1,0)</f>
        <v>0</v>
      </c>
      <c r="M144" t="str">
        <f>IF($L144=1,SUM($L$2:L144),"")</f>
        <v/>
      </c>
      <c r="N144">
        <f t="shared" si="14"/>
        <v>1</v>
      </c>
      <c r="O144">
        <f>IF(AND($N144=1,'All Data'!$E144&lt;&gt;"",COUNTIFS($N$2:N143,1,'All Data'!$E$2:$E143,'All Data'!$E144)=0),1,0)</f>
        <v>0</v>
      </c>
      <c r="P144" t="str">
        <f>IF($O144=1,SUM($O$2:O144),"")</f>
        <v/>
      </c>
      <c r="Q144">
        <f t="shared" si="15"/>
        <v>1</v>
      </c>
      <c r="R144">
        <f>IF(AND($Q144=1,'All Data'!$F144&lt;&gt;"",COUNTIFS($Q$2:Q143,1,'All Data'!$F$2:$F143,'All Data'!$F144)=0),1,0)</f>
        <v>0</v>
      </c>
      <c r="S144" t="str">
        <f>IF($R144=1,SUM($R$2:R144),"")</f>
        <v/>
      </c>
      <c r="T144">
        <f t="shared" si="16"/>
        <v>1</v>
      </c>
      <c r="U144">
        <f>IF(AND($T144=1,'All Data'!$G144&lt;&gt;"",COUNTIFS($T$2:T143,1,'All Data'!$G$2:$G143,'All Data'!$G144)=0),1,0)</f>
        <v>0</v>
      </c>
      <c r="V144" t="str">
        <f>IF($U144=1,SUM($U$2:U144),"")</f>
        <v/>
      </c>
      <c r="W144">
        <f t="shared" si="17"/>
        <v>0</v>
      </c>
      <c r="X144" t="str">
        <f>IF($W144=1,SUM($W$2:W144),"")</f>
        <v/>
      </c>
    </row>
    <row r="145" spans="1:24" x14ac:dyDescent="0.3">
      <c r="A145">
        <f>IF(OR($BA1="Any",$BA1=""),1,IF('All Data'!$B145=$BA1,1,0))</f>
        <v>1</v>
      </c>
      <c r="B145">
        <f>IF(OR($BA2="Any",$BA2=""),1,IF('All Data'!$C145=$BA2,1,0))</f>
        <v>1</v>
      </c>
      <c r="C145">
        <f>IF(OR($BA3="Any",$BA3=""),1,IF('All Data'!$D145=$BA3,1,0))</f>
        <v>1</v>
      </c>
      <c r="D145">
        <f>IF(OR($BA4="Any",$BA4=""),1,IF('All Data'!$E145=$BA4,1,0))</f>
        <v>1</v>
      </c>
      <c r="E145">
        <f>IF(OR($BA5="Any",$BA5=""),1,IF('All Data'!$F145=$BA5,1,0))</f>
        <v>1</v>
      </c>
      <c r="F145">
        <f>IF(OR($BA6="Any",$BA6=""),1,IF('All Data'!$G145=$BA6,1,0))</f>
        <v>0</v>
      </c>
      <c r="G145">
        <f>IF(AND(OR($BA$8="",ISNUMBER(SEARCH($BA$8,'All Data'!$K145&amp;" "&amp;'All Data'!$M145))),OR($BA$9="",ISNUMBER(SEARCH($BA$9,'All Data'!$K145&amp;" "&amp;'All Data'!$M145))),OR($BA$10="",ISNUMBER(SEARCH($BA$10,'All Data'!$K145&amp;" "&amp;'All Data'!$M145))),OR($BA$11="",ISNUMBER(SEARCH($BA$11,'All Data'!$K145&amp;" "&amp;'All Data'!$M145))),OR($BA$12="",ISNUMBER(SEARCH($BA$12,'All Data'!$K145&amp;" "&amp;'All Data'!$M145))),OR($BA$13="",ISNUMBER(SEARCH($BA$13,'All Data'!$K145&amp;" "&amp;'All Data'!$M145))),OR($BA$14="",ISNUMBER(SEARCH($BA$14,'All Data'!$K145&amp;" "&amp;'All Data'!$M145))),OR($BA$15="",ISNUMBER(SEARCH($BA$15,'All Data'!$K145&amp;" "&amp;'All Data'!$M145)))),1,0)</f>
        <v>1</v>
      </c>
      <c r="H145">
        <f t="shared" si="12"/>
        <v>1</v>
      </c>
      <c r="I145">
        <f>IF(AND($H145=1,'All Data'!$C145&lt;&gt;"",COUNTIFS($H$2:H144,1,'All Data'!$C$2:$C144,'All Data'!$C145)=0),1,0)</f>
        <v>0</v>
      </c>
      <c r="J145" t="str">
        <f>IF($I145=1,SUM($I$2:I145),"")</f>
        <v/>
      </c>
      <c r="K145">
        <f t="shared" si="13"/>
        <v>1</v>
      </c>
      <c r="L145">
        <f>IF(AND($K145=1,'All Data'!$D145&lt;&gt;"",COUNTIFS($K$2:K144,1,'All Data'!$D$2:$D144,'All Data'!$D145)=0),1,0)</f>
        <v>0</v>
      </c>
      <c r="M145" t="str">
        <f>IF($L145=1,SUM($L$2:L145),"")</f>
        <v/>
      </c>
      <c r="N145">
        <f t="shared" si="14"/>
        <v>1</v>
      </c>
      <c r="O145">
        <f>IF(AND($N145=1,'All Data'!$E145&lt;&gt;"",COUNTIFS($N$2:N144,1,'All Data'!$E$2:$E144,'All Data'!$E145)=0),1,0)</f>
        <v>0</v>
      </c>
      <c r="P145" t="str">
        <f>IF($O145=1,SUM($O$2:O145),"")</f>
        <v/>
      </c>
      <c r="Q145">
        <f t="shared" si="15"/>
        <v>1</v>
      </c>
      <c r="R145">
        <f>IF(AND($Q145=1,'All Data'!$F145&lt;&gt;"",COUNTIFS($Q$2:Q144,1,'All Data'!$F$2:$F144,'All Data'!$F145)=0),1,0)</f>
        <v>0</v>
      </c>
      <c r="S145" t="str">
        <f>IF($R145=1,SUM($R$2:R145),"")</f>
        <v/>
      </c>
      <c r="T145">
        <f t="shared" si="16"/>
        <v>1</v>
      </c>
      <c r="U145">
        <f>IF(AND($T145=1,'All Data'!$G145&lt;&gt;"",COUNTIFS($T$2:T144,1,'All Data'!$G$2:$G144,'All Data'!$G145)=0),1,0)</f>
        <v>0</v>
      </c>
      <c r="V145" t="str">
        <f>IF($U145=1,SUM($U$2:U145),"")</f>
        <v/>
      </c>
      <c r="W145">
        <f t="shared" si="17"/>
        <v>0</v>
      </c>
      <c r="X145" t="str">
        <f>IF($W145=1,SUM($W$2:W145),"")</f>
        <v/>
      </c>
    </row>
    <row r="146" spans="1:24" x14ac:dyDescent="0.3">
      <c r="A146">
        <f>IF(OR($BA1="Any",$BA1=""),1,IF('All Data'!$B146=$BA1,1,0))</f>
        <v>1</v>
      </c>
      <c r="B146">
        <f>IF(OR($BA2="Any",$BA2=""),1,IF('All Data'!$C146=$BA2,1,0))</f>
        <v>1</v>
      </c>
      <c r="C146">
        <f>IF(OR($BA3="Any",$BA3=""),1,IF('All Data'!$D146=$BA3,1,0))</f>
        <v>1</v>
      </c>
      <c r="D146">
        <f>IF(OR($BA4="Any",$BA4=""),1,IF('All Data'!$E146=$BA4,1,0))</f>
        <v>1</v>
      </c>
      <c r="E146">
        <f>IF(OR($BA5="Any",$BA5=""),1,IF('All Data'!$F146=$BA5,1,0))</f>
        <v>1</v>
      </c>
      <c r="F146">
        <f>IF(OR($BA6="Any",$BA6=""),1,IF('All Data'!$G146=$BA6,1,0))</f>
        <v>0</v>
      </c>
      <c r="G146">
        <f>IF(AND(OR($BA$8="",ISNUMBER(SEARCH($BA$8,'All Data'!$K146&amp;" "&amp;'All Data'!$M146))),OR($BA$9="",ISNUMBER(SEARCH($BA$9,'All Data'!$K146&amp;" "&amp;'All Data'!$M146))),OR($BA$10="",ISNUMBER(SEARCH($BA$10,'All Data'!$K146&amp;" "&amp;'All Data'!$M146))),OR($BA$11="",ISNUMBER(SEARCH($BA$11,'All Data'!$K146&amp;" "&amp;'All Data'!$M146))),OR($BA$12="",ISNUMBER(SEARCH($BA$12,'All Data'!$K146&amp;" "&amp;'All Data'!$M146))),OR($BA$13="",ISNUMBER(SEARCH($BA$13,'All Data'!$K146&amp;" "&amp;'All Data'!$M146))),OR($BA$14="",ISNUMBER(SEARCH($BA$14,'All Data'!$K146&amp;" "&amp;'All Data'!$M146))),OR($BA$15="",ISNUMBER(SEARCH($BA$15,'All Data'!$K146&amp;" "&amp;'All Data'!$M146)))),1,0)</f>
        <v>1</v>
      </c>
      <c r="H146">
        <f t="shared" si="12"/>
        <v>1</v>
      </c>
      <c r="I146">
        <f>IF(AND($H146=1,'All Data'!$C146&lt;&gt;"",COUNTIFS($H$2:H145,1,'All Data'!$C$2:$C145,'All Data'!$C146)=0),1,0)</f>
        <v>0</v>
      </c>
      <c r="J146" t="str">
        <f>IF($I146=1,SUM($I$2:I146),"")</f>
        <v/>
      </c>
      <c r="K146">
        <f t="shared" si="13"/>
        <v>1</v>
      </c>
      <c r="L146">
        <f>IF(AND($K146=1,'All Data'!$D146&lt;&gt;"",COUNTIFS($K$2:K145,1,'All Data'!$D$2:$D145,'All Data'!$D146)=0),1,0)</f>
        <v>0</v>
      </c>
      <c r="M146" t="str">
        <f>IF($L146=1,SUM($L$2:L146),"")</f>
        <v/>
      </c>
      <c r="N146">
        <f t="shared" si="14"/>
        <v>1</v>
      </c>
      <c r="O146">
        <f>IF(AND($N146=1,'All Data'!$E146&lt;&gt;"",COUNTIFS($N$2:N145,1,'All Data'!$E$2:$E145,'All Data'!$E146)=0),1,0)</f>
        <v>0</v>
      </c>
      <c r="P146" t="str">
        <f>IF($O146=1,SUM($O$2:O146),"")</f>
        <v/>
      </c>
      <c r="Q146">
        <f t="shared" si="15"/>
        <v>1</v>
      </c>
      <c r="R146">
        <f>IF(AND($Q146=1,'All Data'!$F146&lt;&gt;"",COUNTIFS($Q$2:Q145,1,'All Data'!$F$2:$F145,'All Data'!$F146)=0),1,0)</f>
        <v>0</v>
      </c>
      <c r="S146" t="str">
        <f>IF($R146=1,SUM($R$2:R146),"")</f>
        <v/>
      </c>
      <c r="T146">
        <f t="shared" si="16"/>
        <v>1</v>
      </c>
      <c r="U146">
        <f>IF(AND($T146=1,'All Data'!$G146&lt;&gt;"",COUNTIFS($T$2:T145,1,'All Data'!$G$2:$G145,'All Data'!$G146)=0),1,0)</f>
        <v>0</v>
      </c>
      <c r="V146" t="str">
        <f>IF($U146=1,SUM($U$2:U146),"")</f>
        <v/>
      </c>
      <c r="W146">
        <f t="shared" si="17"/>
        <v>0</v>
      </c>
      <c r="X146" t="str">
        <f>IF($W146=1,SUM($W$2:W146),"")</f>
        <v/>
      </c>
    </row>
    <row r="147" spans="1:24" x14ac:dyDescent="0.3">
      <c r="A147">
        <f>IF(OR($BA1="Any",$BA1=""),1,IF('All Data'!$B147=$BA1,1,0))</f>
        <v>1</v>
      </c>
      <c r="B147">
        <f>IF(OR($BA2="Any",$BA2=""),1,IF('All Data'!$C147=$BA2,1,0))</f>
        <v>1</v>
      </c>
      <c r="C147">
        <f>IF(OR($BA3="Any",$BA3=""),1,IF('All Data'!$D147=$BA3,1,0))</f>
        <v>1</v>
      </c>
      <c r="D147">
        <f>IF(OR($BA4="Any",$BA4=""),1,IF('All Data'!$E147=$BA4,1,0))</f>
        <v>1</v>
      </c>
      <c r="E147">
        <f>IF(OR($BA5="Any",$BA5=""),1,IF('All Data'!$F147=$BA5,1,0))</f>
        <v>1</v>
      </c>
      <c r="F147">
        <f>IF(OR($BA6="Any",$BA6=""),1,IF('All Data'!$G147=$BA6,1,0))</f>
        <v>0</v>
      </c>
      <c r="G147">
        <f>IF(AND(OR($BA$8="",ISNUMBER(SEARCH($BA$8,'All Data'!$K147&amp;" "&amp;'All Data'!$M147))),OR($BA$9="",ISNUMBER(SEARCH($BA$9,'All Data'!$K147&amp;" "&amp;'All Data'!$M147))),OR($BA$10="",ISNUMBER(SEARCH($BA$10,'All Data'!$K147&amp;" "&amp;'All Data'!$M147))),OR($BA$11="",ISNUMBER(SEARCH($BA$11,'All Data'!$K147&amp;" "&amp;'All Data'!$M147))),OR($BA$12="",ISNUMBER(SEARCH($BA$12,'All Data'!$K147&amp;" "&amp;'All Data'!$M147))),OR($BA$13="",ISNUMBER(SEARCH($BA$13,'All Data'!$K147&amp;" "&amp;'All Data'!$M147))),OR($BA$14="",ISNUMBER(SEARCH($BA$14,'All Data'!$K147&amp;" "&amp;'All Data'!$M147))),OR($BA$15="",ISNUMBER(SEARCH($BA$15,'All Data'!$K147&amp;" "&amp;'All Data'!$M147)))),1,0)</f>
        <v>1</v>
      </c>
      <c r="H147">
        <f t="shared" si="12"/>
        <v>1</v>
      </c>
      <c r="I147">
        <f>IF(AND($H147=1,'All Data'!$C147&lt;&gt;"",COUNTIFS($H$2:H146,1,'All Data'!$C$2:$C146,'All Data'!$C147)=0),1,0)</f>
        <v>1</v>
      </c>
      <c r="J147">
        <f>IF($I147=1,SUM($I$2:I147),"")</f>
        <v>7</v>
      </c>
      <c r="K147">
        <f t="shared" si="13"/>
        <v>1</v>
      </c>
      <c r="L147">
        <f>IF(AND($K147=1,'All Data'!$D147&lt;&gt;"",COUNTIFS($K$2:K146,1,'All Data'!$D$2:$D146,'All Data'!$D147)=0),1,0)</f>
        <v>1</v>
      </c>
      <c r="M147">
        <f>IF($L147=1,SUM($L$2:L147),"")</f>
        <v>31</v>
      </c>
      <c r="N147">
        <f t="shared" si="14"/>
        <v>1</v>
      </c>
      <c r="O147">
        <f>IF(AND($N147=1,'All Data'!$E147&lt;&gt;"",COUNTIFS($N$2:N146,1,'All Data'!$E$2:$E146,'All Data'!$E147)=0),1,0)</f>
        <v>0</v>
      </c>
      <c r="P147" t="str">
        <f>IF($O147=1,SUM($O$2:O147),"")</f>
        <v/>
      </c>
      <c r="Q147">
        <f t="shared" si="15"/>
        <v>1</v>
      </c>
      <c r="R147">
        <f>IF(AND($Q147=1,'All Data'!$F147&lt;&gt;"",COUNTIFS($Q$2:Q146,1,'All Data'!$F$2:$F146,'All Data'!$F147)=0),1,0)</f>
        <v>0</v>
      </c>
      <c r="S147" t="str">
        <f>IF($R147=1,SUM($R$2:R147),"")</f>
        <v/>
      </c>
      <c r="T147">
        <f t="shared" si="16"/>
        <v>1</v>
      </c>
      <c r="U147">
        <f>IF(AND($T147=1,'All Data'!$G147&lt;&gt;"",COUNTIFS($T$2:T146,1,'All Data'!$G$2:$G146,'All Data'!$G147)=0),1,0)</f>
        <v>0</v>
      </c>
      <c r="V147" t="str">
        <f>IF($U147=1,SUM($U$2:U147),"")</f>
        <v/>
      </c>
      <c r="W147">
        <f t="shared" si="17"/>
        <v>0</v>
      </c>
      <c r="X147" t="str">
        <f>IF($W147=1,SUM($W$2:W147),"")</f>
        <v/>
      </c>
    </row>
    <row r="148" spans="1:24" x14ac:dyDescent="0.3">
      <c r="A148">
        <f>IF(OR($BA1="Any",$BA1=""),1,IF('All Data'!$B148=$BA1,1,0))</f>
        <v>1</v>
      </c>
      <c r="B148">
        <f>IF(OR($BA2="Any",$BA2=""),1,IF('All Data'!$C148=$BA2,1,0))</f>
        <v>1</v>
      </c>
      <c r="C148">
        <f>IF(OR($BA3="Any",$BA3=""),1,IF('All Data'!$D148=$BA3,1,0))</f>
        <v>1</v>
      </c>
      <c r="D148">
        <f>IF(OR($BA4="Any",$BA4=""),1,IF('All Data'!$E148=$BA4,1,0))</f>
        <v>1</v>
      </c>
      <c r="E148">
        <f>IF(OR($BA5="Any",$BA5=""),1,IF('All Data'!$F148=$BA5,1,0))</f>
        <v>1</v>
      </c>
      <c r="F148">
        <f>IF(OR($BA6="Any",$BA6=""),1,IF('All Data'!$G148=$BA6,1,0))</f>
        <v>0</v>
      </c>
      <c r="G148">
        <f>IF(AND(OR($BA$8="",ISNUMBER(SEARCH($BA$8,'All Data'!$K148&amp;" "&amp;'All Data'!$M148))),OR($BA$9="",ISNUMBER(SEARCH($BA$9,'All Data'!$K148&amp;" "&amp;'All Data'!$M148))),OR($BA$10="",ISNUMBER(SEARCH($BA$10,'All Data'!$K148&amp;" "&amp;'All Data'!$M148))),OR($BA$11="",ISNUMBER(SEARCH($BA$11,'All Data'!$K148&amp;" "&amp;'All Data'!$M148))),OR($BA$12="",ISNUMBER(SEARCH($BA$12,'All Data'!$K148&amp;" "&amp;'All Data'!$M148))),OR($BA$13="",ISNUMBER(SEARCH($BA$13,'All Data'!$K148&amp;" "&amp;'All Data'!$M148))),OR($BA$14="",ISNUMBER(SEARCH($BA$14,'All Data'!$K148&amp;" "&amp;'All Data'!$M148))),OR($BA$15="",ISNUMBER(SEARCH($BA$15,'All Data'!$K148&amp;" "&amp;'All Data'!$M148)))),1,0)</f>
        <v>1</v>
      </c>
      <c r="H148">
        <f t="shared" si="12"/>
        <v>1</v>
      </c>
      <c r="I148">
        <f>IF(AND($H148=1,'All Data'!$C148&lt;&gt;"",COUNTIFS($H$2:H147,1,'All Data'!$C$2:$C147,'All Data'!$C148)=0),1,0)</f>
        <v>0</v>
      </c>
      <c r="J148" t="str">
        <f>IF($I148=1,SUM($I$2:I148),"")</f>
        <v/>
      </c>
      <c r="K148">
        <f t="shared" si="13"/>
        <v>1</v>
      </c>
      <c r="L148">
        <f>IF(AND($K148=1,'All Data'!$D148&lt;&gt;"",COUNTIFS($K$2:K147,1,'All Data'!$D$2:$D147,'All Data'!$D148)=0),1,0)</f>
        <v>1</v>
      </c>
      <c r="M148">
        <f>IF($L148=1,SUM($L$2:L148),"")</f>
        <v>32</v>
      </c>
      <c r="N148">
        <f t="shared" si="14"/>
        <v>1</v>
      </c>
      <c r="O148">
        <f>IF(AND($N148=1,'All Data'!$E148&lt;&gt;"",COUNTIFS($N$2:N147,1,'All Data'!$E$2:$E147,'All Data'!$E148)=0),1,0)</f>
        <v>0</v>
      </c>
      <c r="P148" t="str">
        <f>IF($O148=1,SUM($O$2:O148),"")</f>
        <v/>
      </c>
      <c r="Q148">
        <f t="shared" si="15"/>
        <v>1</v>
      </c>
      <c r="R148">
        <f>IF(AND($Q148=1,'All Data'!$F148&lt;&gt;"",COUNTIFS($Q$2:Q147,1,'All Data'!$F$2:$F147,'All Data'!$F148)=0),1,0)</f>
        <v>0</v>
      </c>
      <c r="S148" t="str">
        <f>IF($R148=1,SUM($R$2:R148),"")</f>
        <v/>
      </c>
      <c r="T148">
        <f t="shared" si="16"/>
        <v>1</v>
      </c>
      <c r="U148">
        <f>IF(AND($T148=1,'All Data'!$G148&lt;&gt;"",COUNTIFS($T$2:T147,1,'All Data'!$G$2:$G147,'All Data'!$G148)=0),1,0)</f>
        <v>0</v>
      </c>
      <c r="V148" t="str">
        <f>IF($U148=1,SUM($U$2:U148),"")</f>
        <v/>
      </c>
      <c r="W148">
        <f t="shared" si="17"/>
        <v>0</v>
      </c>
      <c r="X148" t="str">
        <f>IF($W148=1,SUM($W$2:W148),"")</f>
        <v/>
      </c>
    </row>
    <row r="149" spans="1:24" x14ac:dyDescent="0.3">
      <c r="A149">
        <f>IF(OR($BA1="Any",$BA1=""),1,IF('All Data'!$B149=$BA1,1,0))</f>
        <v>1</v>
      </c>
      <c r="B149">
        <f>IF(OR($BA2="Any",$BA2=""),1,IF('All Data'!$C149=$BA2,1,0))</f>
        <v>1</v>
      </c>
      <c r="C149">
        <f>IF(OR($BA3="Any",$BA3=""),1,IF('All Data'!$D149=$BA3,1,0))</f>
        <v>1</v>
      </c>
      <c r="D149">
        <f>IF(OR($BA4="Any",$BA4=""),1,IF('All Data'!$E149=$BA4,1,0))</f>
        <v>1</v>
      </c>
      <c r="E149">
        <f>IF(OR($BA5="Any",$BA5=""),1,IF('All Data'!$F149=$BA5,1,0))</f>
        <v>1</v>
      </c>
      <c r="F149">
        <f>IF(OR($BA6="Any",$BA6=""),1,IF('All Data'!$G149=$BA6,1,0))</f>
        <v>0</v>
      </c>
      <c r="G149">
        <f>IF(AND(OR($BA$8="",ISNUMBER(SEARCH($BA$8,'All Data'!$K149&amp;" "&amp;'All Data'!$M149))),OR($BA$9="",ISNUMBER(SEARCH($BA$9,'All Data'!$K149&amp;" "&amp;'All Data'!$M149))),OR($BA$10="",ISNUMBER(SEARCH($BA$10,'All Data'!$K149&amp;" "&amp;'All Data'!$M149))),OR($BA$11="",ISNUMBER(SEARCH($BA$11,'All Data'!$K149&amp;" "&amp;'All Data'!$M149))),OR($BA$12="",ISNUMBER(SEARCH($BA$12,'All Data'!$K149&amp;" "&amp;'All Data'!$M149))),OR($BA$13="",ISNUMBER(SEARCH($BA$13,'All Data'!$K149&amp;" "&amp;'All Data'!$M149))),OR($BA$14="",ISNUMBER(SEARCH($BA$14,'All Data'!$K149&amp;" "&amp;'All Data'!$M149))),OR($BA$15="",ISNUMBER(SEARCH($BA$15,'All Data'!$K149&amp;" "&amp;'All Data'!$M149)))),1,0)</f>
        <v>1</v>
      </c>
      <c r="H149">
        <f t="shared" si="12"/>
        <v>1</v>
      </c>
      <c r="I149">
        <f>IF(AND($H149=1,'All Data'!$C149&lt;&gt;"",COUNTIFS($H$2:H148,1,'All Data'!$C$2:$C148,'All Data'!$C149)=0),1,0)</f>
        <v>0</v>
      </c>
      <c r="J149" t="str">
        <f>IF($I149=1,SUM($I$2:I149),"")</f>
        <v/>
      </c>
      <c r="K149">
        <f t="shared" si="13"/>
        <v>1</v>
      </c>
      <c r="L149">
        <f>IF(AND($K149=1,'All Data'!$D149&lt;&gt;"",COUNTIFS($K$2:K148,1,'All Data'!$D$2:$D148,'All Data'!$D149)=0),1,0)</f>
        <v>1</v>
      </c>
      <c r="M149">
        <f>IF($L149=1,SUM($L$2:L149),"")</f>
        <v>33</v>
      </c>
      <c r="N149">
        <f t="shared" si="14"/>
        <v>1</v>
      </c>
      <c r="O149">
        <f>IF(AND($N149=1,'All Data'!$E149&lt;&gt;"",COUNTIFS($N$2:N148,1,'All Data'!$E$2:$E148,'All Data'!$E149)=0),1,0)</f>
        <v>0</v>
      </c>
      <c r="P149" t="str">
        <f>IF($O149=1,SUM($O$2:O149),"")</f>
        <v/>
      </c>
      <c r="Q149">
        <f t="shared" si="15"/>
        <v>1</v>
      </c>
      <c r="R149">
        <f>IF(AND($Q149=1,'All Data'!$F149&lt;&gt;"",COUNTIFS($Q$2:Q148,1,'All Data'!$F$2:$F148,'All Data'!$F149)=0),1,0)</f>
        <v>0</v>
      </c>
      <c r="S149" t="str">
        <f>IF($R149=1,SUM($R$2:R149),"")</f>
        <v/>
      </c>
      <c r="T149">
        <f t="shared" si="16"/>
        <v>1</v>
      </c>
      <c r="U149">
        <f>IF(AND($T149=1,'All Data'!$G149&lt;&gt;"",COUNTIFS($T$2:T148,1,'All Data'!$G$2:$G148,'All Data'!$G149)=0),1,0)</f>
        <v>0</v>
      </c>
      <c r="V149" t="str">
        <f>IF($U149=1,SUM($U$2:U149),"")</f>
        <v/>
      </c>
      <c r="W149">
        <f t="shared" si="17"/>
        <v>0</v>
      </c>
      <c r="X149" t="str">
        <f>IF($W149=1,SUM($W$2:W149),"")</f>
        <v/>
      </c>
    </row>
    <row r="150" spans="1:24" x14ac:dyDescent="0.3">
      <c r="A150">
        <f>IF(OR($BA1="Any",$BA1=""),1,IF('All Data'!$B150=$BA1,1,0))</f>
        <v>1</v>
      </c>
      <c r="B150">
        <f>IF(OR($BA2="Any",$BA2=""),1,IF('All Data'!$C150=$BA2,1,0))</f>
        <v>1</v>
      </c>
      <c r="C150">
        <f>IF(OR($BA3="Any",$BA3=""),1,IF('All Data'!$D150=$BA3,1,0))</f>
        <v>1</v>
      </c>
      <c r="D150">
        <f>IF(OR($BA4="Any",$BA4=""),1,IF('All Data'!$E150=$BA4,1,0))</f>
        <v>1</v>
      </c>
      <c r="E150">
        <f>IF(OR($BA5="Any",$BA5=""),1,IF('All Data'!$F150=$BA5,1,0))</f>
        <v>1</v>
      </c>
      <c r="F150">
        <f>IF(OR($BA6="Any",$BA6=""),1,IF('All Data'!$G150=$BA6,1,0))</f>
        <v>0</v>
      </c>
      <c r="G150">
        <f>IF(AND(OR($BA$8="",ISNUMBER(SEARCH($BA$8,'All Data'!$K150&amp;" "&amp;'All Data'!$M150))),OR($BA$9="",ISNUMBER(SEARCH($BA$9,'All Data'!$K150&amp;" "&amp;'All Data'!$M150))),OR($BA$10="",ISNUMBER(SEARCH($BA$10,'All Data'!$K150&amp;" "&amp;'All Data'!$M150))),OR($BA$11="",ISNUMBER(SEARCH($BA$11,'All Data'!$K150&amp;" "&amp;'All Data'!$M150))),OR($BA$12="",ISNUMBER(SEARCH($BA$12,'All Data'!$K150&amp;" "&amp;'All Data'!$M150))),OR($BA$13="",ISNUMBER(SEARCH($BA$13,'All Data'!$K150&amp;" "&amp;'All Data'!$M150))),OR($BA$14="",ISNUMBER(SEARCH($BA$14,'All Data'!$K150&amp;" "&amp;'All Data'!$M150))),OR($BA$15="",ISNUMBER(SEARCH($BA$15,'All Data'!$K150&amp;" "&amp;'All Data'!$M150)))),1,0)</f>
        <v>1</v>
      </c>
      <c r="H150">
        <f t="shared" si="12"/>
        <v>1</v>
      </c>
      <c r="I150">
        <f>IF(AND($H150=1,'All Data'!$C150&lt;&gt;"",COUNTIFS($H$2:H149,1,'All Data'!$C$2:$C149,'All Data'!$C150)=0),1,0)</f>
        <v>0</v>
      </c>
      <c r="J150" t="str">
        <f>IF($I150=1,SUM($I$2:I150),"")</f>
        <v/>
      </c>
      <c r="K150">
        <f t="shared" si="13"/>
        <v>1</v>
      </c>
      <c r="L150">
        <f>IF(AND($K150=1,'All Data'!$D150&lt;&gt;"",COUNTIFS($K$2:K149,1,'All Data'!$D$2:$D149,'All Data'!$D150)=0),1,0)</f>
        <v>1</v>
      </c>
      <c r="M150">
        <f>IF($L150=1,SUM($L$2:L150),"")</f>
        <v>34</v>
      </c>
      <c r="N150">
        <f t="shared" si="14"/>
        <v>1</v>
      </c>
      <c r="O150">
        <f>IF(AND($N150=1,'All Data'!$E150&lt;&gt;"",COUNTIFS($N$2:N149,1,'All Data'!$E$2:$E149,'All Data'!$E150)=0),1,0)</f>
        <v>0</v>
      </c>
      <c r="P150" t="str">
        <f>IF($O150=1,SUM($O$2:O150),"")</f>
        <v/>
      </c>
      <c r="Q150">
        <f t="shared" si="15"/>
        <v>1</v>
      </c>
      <c r="R150">
        <f>IF(AND($Q150=1,'All Data'!$F150&lt;&gt;"",COUNTIFS($Q$2:Q149,1,'All Data'!$F$2:$F149,'All Data'!$F150)=0),1,0)</f>
        <v>0</v>
      </c>
      <c r="S150" t="str">
        <f>IF($R150=1,SUM($R$2:R150),"")</f>
        <v/>
      </c>
      <c r="T150">
        <f t="shared" si="16"/>
        <v>1</v>
      </c>
      <c r="U150">
        <f>IF(AND($T150=1,'All Data'!$G150&lt;&gt;"",COUNTIFS($T$2:T149,1,'All Data'!$G$2:$G149,'All Data'!$G150)=0),1,0)</f>
        <v>0</v>
      </c>
      <c r="V150" t="str">
        <f>IF($U150=1,SUM($U$2:U150),"")</f>
        <v/>
      </c>
      <c r="W150">
        <f t="shared" si="17"/>
        <v>0</v>
      </c>
      <c r="X150" t="str">
        <f>IF($W150=1,SUM($W$2:W150),"")</f>
        <v/>
      </c>
    </row>
    <row r="151" spans="1:24" x14ac:dyDescent="0.3">
      <c r="A151">
        <f>IF(OR($BA1="Any",$BA1=""),1,IF('All Data'!$B151=$BA1,1,0))</f>
        <v>1</v>
      </c>
      <c r="B151">
        <f>IF(OR($BA2="Any",$BA2=""),1,IF('All Data'!$C151=$BA2,1,0))</f>
        <v>1</v>
      </c>
      <c r="C151">
        <f>IF(OR($BA3="Any",$BA3=""),1,IF('All Data'!$D151=$BA3,1,0))</f>
        <v>1</v>
      </c>
      <c r="D151">
        <f>IF(OR($BA4="Any",$BA4=""),1,IF('All Data'!$E151=$BA4,1,0))</f>
        <v>1</v>
      </c>
      <c r="E151">
        <f>IF(OR($BA5="Any",$BA5=""),1,IF('All Data'!$F151=$BA5,1,0))</f>
        <v>1</v>
      </c>
      <c r="F151">
        <f>IF(OR($BA6="Any",$BA6=""),1,IF('All Data'!$G151=$BA6,1,0))</f>
        <v>0</v>
      </c>
      <c r="G151">
        <f>IF(AND(OR($BA$8="",ISNUMBER(SEARCH($BA$8,'All Data'!$K151&amp;" "&amp;'All Data'!$M151))),OR($BA$9="",ISNUMBER(SEARCH($BA$9,'All Data'!$K151&amp;" "&amp;'All Data'!$M151))),OR($BA$10="",ISNUMBER(SEARCH($BA$10,'All Data'!$K151&amp;" "&amp;'All Data'!$M151))),OR($BA$11="",ISNUMBER(SEARCH($BA$11,'All Data'!$K151&amp;" "&amp;'All Data'!$M151))),OR($BA$12="",ISNUMBER(SEARCH($BA$12,'All Data'!$K151&amp;" "&amp;'All Data'!$M151))),OR($BA$13="",ISNUMBER(SEARCH($BA$13,'All Data'!$K151&amp;" "&amp;'All Data'!$M151))),OR($BA$14="",ISNUMBER(SEARCH($BA$14,'All Data'!$K151&amp;" "&amp;'All Data'!$M151))),OR($BA$15="",ISNUMBER(SEARCH($BA$15,'All Data'!$K151&amp;" "&amp;'All Data'!$M151)))),1,0)</f>
        <v>1</v>
      </c>
      <c r="H151">
        <f t="shared" si="12"/>
        <v>1</v>
      </c>
      <c r="I151">
        <f>IF(AND($H151=1,'All Data'!$C151&lt;&gt;"",COUNTIFS($H$2:H150,1,'All Data'!$C$2:$C150,'All Data'!$C151)=0),1,0)</f>
        <v>0</v>
      </c>
      <c r="J151" t="str">
        <f>IF($I151=1,SUM($I$2:I151),"")</f>
        <v/>
      </c>
      <c r="K151">
        <f t="shared" si="13"/>
        <v>1</v>
      </c>
      <c r="L151">
        <f>IF(AND($K151=1,'All Data'!$D151&lt;&gt;"",COUNTIFS($K$2:K150,1,'All Data'!$D$2:$D150,'All Data'!$D151)=0),1,0)</f>
        <v>1</v>
      </c>
      <c r="M151">
        <f>IF($L151=1,SUM($L$2:L151),"")</f>
        <v>35</v>
      </c>
      <c r="N151">
        <f t="shared" si="14"/>
        <v>1</v>
      </c>
      <c r="O151">
        <f>IF(AND($N151=1,'All Data'!$E151&lt;&gt;"",COUNTIFS($N$2:N150,1,'All Data'!$E$2:$E150,'All Data'!$E151)=0),1,0)</f>
        <v>0</v>
      </c>
      <c r="P151" t="str">
        <f>IF($O151=1,SUM($O$2:O151),"")</f>
        <v/>
      </c>
      <c r="Q151">
        <f t="shared" si="15"/>
        <v>1</v>
      </c>
      <c r="R151">
        <f>IF(AND($Q151=1,'All Data'!$F151&lt;&gt;"",COUNTIFS($Q$2:Q150,1,'All Data'!$F$2:$F150,'All Data'!$F151)=0),1,0)</f>
        <v>0</v>
      </c>
      <c r="S151" t="str">
        <f>IF($R151=1,SUM($R$2:R151),"")</f>
        <v/>
      </c>
      <c r="T151">
        <f t="shared" si="16"/>
        <v>1</v>
      </c>
      <c r="U151">
        <f>IF(AND($T151=1,'All Data'!$G151&lt;&gt;"",COUNTIFS($T$2:T150,1,'All Data'!$G$2:$G150,'All Data'!$G151)=0),1,0)</f>
        <v>0</v>
      </c>
      <c r="V151" t="str">
        <f>IF($U151=1,SUM($U$2:U151),"")</f>
        <v/>
      </c>
      <c r="W151">
        <f t="shared" si="17"/>
        <v>0</v>
      </c>
      <c r="X151" t="str">
        <f>IF($W151=1,SUM($W$2:W151),"")</f>
        <v/>
      </c>
    </row>
    <row r="152" spans="1:24" x14ac:dyDescent="0.3">
      <c r="A152">
        <f>IF(OR($BA1="Any",$BA1=""),1,IF('All Data'!$B152=$BA1,1,0))</f>
        <v>1</v>
      </c>
      <c r="B152">
        <f>IF(OR($BA2="Any",$BA2=""),1,IF('All Data'!$C152=$BA2,1,0))</f>
        <v>1</v>
      </c>
      <c r="C152">
        <f>IF(OR($BA3="Any",$BA3=""),1,IF('All Data'!$D152=$BA3,1,0))</f>
        <v>1</v>
      </c>
      <c r="D152">
        <f>IF(OR($BA4="Any",$BA4=""),1,IF('All Data'!$E152=$BA4,1,0))</f>
        <v>1</v>
      </c>
      <c r="E152">
        <f>IF(OR($BA5="Any",$BA5=""),1,IF('All Data'!$F152=$BA5,1,0))</f>
        <v>1</v>
      </c>
      <c r="F152">
        <f>IF(OR($BA6="Any",$BA6=""),1,IF('All Data'!$G152=$BA6,1,0))</f>
        <v>0</v>
      </c>
      <c r="G152">
        <f>IF(AND(OR($BA$8="",ISNUMBER(SEARCH($BA$8,'All Data'!$K152&amp;" "&amp;'All Data'!$M152))),OR($BA$9="",ISNUMBER(SEARCH($BA$9,'All Data'!$K152&amp;" "&amp;'All Data'!$M152))),OR($BA$10="",ISNUMBER(SEARCH($BA$10,'All Data'!$K152&amp;" "&amp;'All Data'!$M152))),OR($BA$11="",ISNUMBER(SEARCH($BA$11,'All Data'!$K152&amp;" "&amp;'All Data'!$M152))),OR($BA$12="",ISNUMBER(SEARCH($BA$12,'All Data'!$K152&amp;" "&amp;'All Data'!$M152))),OR($BA$13="",ISNUMBER(SEARCH($BA$13,'All Data'!$K152&amp;" "&amp;'All Data'!$M152))),OR($BA$14="",ISNUMBER(SEARCH($BA$14,'All Data'!$K152&amp;" "&amp;'All Data'!$M152))),OR($BA$15="",ISNUMBER(SEARCH($BA$15,'All Data'!$K152&amp;" "&amp;'All Data'!$M152)))),1,0)</f>
        <v>1</v>
      </c>
      <c r="H152">
        <f t="shared" si="12"/>
        <v>1</v>
      </c>
      <c r="I152">
        <f>IF(AND($H152=1,'All Data'!$C152&lt;&gt;"",COUNTIFS($H$2:H151,1,'All Data'!$C$2:$C151,'All Data'!$C152)=0),1,0)</f>
        <v>0</v>
      </c>
      <c r="J152" t="str">
        <f>IF($I152=1,SUM($I$2:I152),"")</f>
        <v/>
      </c>
      <c r="K152">
        <f t="shared" si="13"/>
        <v>1</v>
      </c>
      <c r="L152">
        <f>IF(AND($K152=1,'All Data'!$D152&lt;&gt;"",COUNTIFS($K$2:K151,1,'All Data'!$D$2:$D151,'All Data'!$D152)=0),1,0)</f>
        <v>1</v>
      </c>
      <c r="M152">
        <f>IF($L152=1,SUM($L$2:L152),"")</f>
        <v>36</v>
      </c>
      <c r="N152">
        <f t="shared" si="14"/>
        <v>1</v>
      </c>
      <c r="O152">
        <f>IF(AND($N152=1,'All Data'!$E152&lt;&gt;"",COUNTIFS($N$2:N151,1,'All Data'!$E$2:$E151,'All Data'!$E152)=0),1,0)</f>
        <v>0</v>
      </c>
      <c r="P152" t="str">
        <f>IF($O152=1,SUM($O$2:O152),"")</f>
        <v/>
      </c>
      <c r="Q152">
        <f t="shared" si="15"/>
        <v>1</v>
      </c>
      <c r="R152">
        <f>IF(AND($Q152=1,'All Data'!$F152&lt;&gt;"",COUNTIFS($Q$2:Q151,1,'All Data'!$F$2:$F151,'All Data'!$F152)=0),1,0)</f>
        <v>0</v>
      </c>
      <c r="S152" t="str">
        <f>IF($R152=1,SUM($R$2:R152),"")</f>
        <v/>
      </c>
      <c r="T152">
        <f t="shared" si="16"/>
        <v>1</v>
      </c>
      <c r="U152">
        <f>IF(AND($T152=1,'All Data'!$G152&lt;&gt;"",COUNTIFS($T$2:T151,1,'All Data'!$G$2:$G151,'All Data'!$G152)=0),1,0)</f>
        <v>0</v>
      </c>
      <c r="V152" t="str">
        <f>IF($U152=1,SUM($U$2:U152),"")</f>
        <v/>
      </c>
      <c r="W152">
        <f t="shared" si="17"/>
        <v>0</v>
      </c>
      <c r="X152" t="str">
        <f>IF($W152=1,SUM($W$2:W152),"")</f>
        <v/>
      </c>
    </row>
    <row r="153" spans="1:24" x14ac:dyDescent="0.3">
      <c r="A153">
        <f>IF(OR($BA1="Any",$BA1=""),1,IF('All Data'!$B153=$BA1,1,0))</f>
        <v>1</v>
      </c>
      <c r="B153">
        <f>IF(OR($BA2="Any",$BA2=""),1,IF('All Data'!$C153=$BA2,1,0))</f>
        <v>1</v>
      </c>
      <c r="C153">
        <f>IF(OR($BA3="Any",$BA3=""),1,IF('All Data'!$D153=$BA3,1,0))</f>
        <v>1</v>
      </c>
      <c r="D153">
        <f>IF(OR($BA4="Any",$BA4=""),1,IF('All Data'!$E153=$BA4,1,0))</f>
        <v>1</v>
      </c>
      <c r="E153">
        <f>IF(OR($BA5="Any",$BA5=""),1,IF('All Data'!$F153=$BA5,1,0))</f>
        <v>1</v>
      </c>
      <c r="F153">
        <f>IF(OR($BA6="Any",$BA6=""),1,IF('All Data'!$G153=$BA6,1,0))</f>
        <v>0</v>
      </c>
      <c r="G153">
        <f>IF(AND(OR($BA$8="",ISNUMBER(SEARCH($BA$8,'All Data'!$K153&amp;" "&amp;'All Data'!$M153))),OR($BA$9="",ISNUMBER(SEARCH($BA$9,'All Data'!$K153&amp;" "&amp;'All Data'!$M153))),OR($BA$10="",ISNUMBER(SEARCH($BA$10,'All Data'!$K153&amp;" "&amp;'All Data'!$M153))),OR($BA$11="",ISNUMBER(SEARCH($BA$11,'All Data'!$K153&amp;" "&amp;'All Data'!$M153))),OR($BA$12="",ISNUMBER(SEARCH($BA$12,'All Data'!$K153&amp;" "&amp;'All Data'!$M153))),OR($BA$13="",ISNUMBER(SEARCH($BA$13,'All Data'!$K153&amp;" "&amp;'All Data'!$M153))),OR($BA$14="",ISNUMBER(SEARCH($BA$14,'All Data'!$K153&amp;" "&amp;'All Data'!$M153))),OR($BA$15="",ISNUMBER(SEARCH($BA$15,'All Data'!$K153&amp;" "&amp;'All Data'!$M153)))),1,0)</f>
        <v>1</v>
      </c>
      <c r="H153">
        <f t="shared" si="12"/>
        <v>1</v>
      </c>
      <c r="I153">
        <f>IF(AND($H153=1,'All Data'!$C153&lt;&gt;"",COUNTIFS($H$2:H152,1,'All Data'!$C$2:$C152,'All Data'!$C153)=0),1,0)</f>
        <v>0</v>
      </c>
      <c r="J153" t="str">
        <f>IF($I153=1,SUM($I$2:I153),"")</f>
        <v/>
      </c>
      <c r="K153">
        <f t="shared" si="13"/>
        <v>1</v>
      </c>
      <c r="L153">
        <f>IF(AND($K153=1,'All Data'!$D153&lt;&gt;"",COUNTIFS($K$2:K152,1,'All Data'!$D$2:$D152,'All Data'!$D153)=0),1,0)</f>
        <v>1</v>
      </c>
      <c r="M153">
        <f>IF($L153=1,SUM($L$2:L153),"")</f>
        <v>37</v>
      </c>
      <c r="N153">
        <f t="shared" si="14"/>
        <v>1</v>
      </c>
      <c r="O153">
        <f>IF(AND($N153=1,'All Data'!$E153&lt;&gt;"",COUNTIFS($N$2:N152,1,'All Data'!$E$2:$E152,'All Data'!$E153)=0),1,0)</f>
        <v>0</v>
      </c>
      <c r="P153" t="str">
        <f>IF($O153=1,SUM($O$2:O153),"")</f>
        <v/>
      </c>
      <c r="Q153">
        <f t="shared" si="15"/>
        <v>1</v>
      </c>
      <c r="R153">
        <f>IF(AND($Q153=1,'All Data'!$F153&lt;&gt;"",COUNTIFS($Q$2:Q152,1,'All Data'!$F$2:$F152,'All Data'!$F153)=0),1,0)</f>
        <v>0</v>
      </c>
      <c r="S153" t="str">
        <f>IF($R153=1,SUM($R$2:R153),"")</f>
        <v/>
      </c>
      <c r="T153">
        <f t="shared" si="16"/>
        <v>1</v>
      </c>
      <c r="U153">
        <f>IF(AND($T153=1,'All Data'!$G153&lt;&gt;"",COUNTIFS($T$2:T152,1,'All Data'!$G$2:$G152,'All Data'!$G153)=0),1,0)</f>
        <v>0</v>
      </c>
      <c r="V153" t="str">
        <f>IF($U153=1,SUM($U$2:U153),"")</f>
        <v/>
      </c>
      <c r="W153">
        <f t="shared" si="17"/>
        <v>0</v>
      </c>
      <c r="X153" t="str">
        <f>IF($W153=1,SUM($W$2:W153),"")</f>
        <v/>
      </c>
    </row>
    <row r="154" spans="1:24" x14ac:dyDescent="0.3">
      <c r="A154">
        <f>IF(OR($BA1="Any",$BA1=""),1,IF('All Data'!$B154=$BA1,1,0))</f>
        <v>0</v>
      </c>
      <c r="B154">
        <f>IF(OR($BA2="Any",$BA2=""),1,IF('All Data'!$C154=$BA2,1,0))</f>
        <v>1</v>
      </c>
      <c r="C154">
        <f>IF(OR($BA3="Any",$BA3=""),1,IF('All Data'!$D154=$BA3,1,0))</f>
        <v>1</v>
      </c>
      <c r="D154">
        <f>IF(OR($BA4="Any",$BA4=""),1,IF('All Data'!$E154=$BA4,1,0))</f>
        <v>1</v>
      </c>
      <c r="E154">
        <f>IF(OR($BA5="Any",$BA5=""),1,IF('All Data'!$F154=$BA5,1,0))</f>
        <v>1</v>
      </c>
      <c r="F154">
        <f>IF(OR($BA6="Any",$BA6=""),1,IF('All Data'!$G154=$BA6,1,0))</f>
        <v>0</v>
      </c>
      <c r="G154">
        <f>IF(AND(OR($BA$8="",ISNUMBER(SEARCH($BA$8,'All Data'!$K154&amp;" "&amp;'All Data'!$M154))),OR($BA$9="",ISNUMBER(SEARCH($BA$9,'All Data'!$K154&amp;" "&amp;'All Data'!$M154))),OR($BA$10="",ISNUMBER(SEARCH($BA$10,'All Data'!$K154&amp;" "&amp;'All Data'!$M154))),OR($BA$11="",ISNUMBER(SEARCH($BA$11,'All Data'!$K154&amp;" "&amp;'All Data'!$M154))),OR($BA$12="",ISNUMBER(SEARCH($BA$12,'All Data'!$K154&amp;" "&amp;'All Data'!$M154))),OR($BA$13="",ISNUMBER(SEARCH($BA$13,'All Data'!$K154&amp;" "&amp;'All Data'!$M154))),OR($BA$14="",ISNUMBER(SEARCH($BA$14,'All Data'!$K154&amp;" "&amp;'All Data'!$M154))),OR($BA$15="",ISNUMBER(SEARCH($BA$15,'All Data'!$K154&amp;" "&amp;'All Data'!$M154)))),1,0)</f>
        <v>1</v>
      </c>
      <c r="H154">
        <f t="shared" si="12"/>
        <v>0</v>
      </c>
      <c r="I154">
        <f>IF(AND($H154=1,'All Data'!$C154&lt;&gt;"",COUNTIFS($H$2:H153,1,'All Data'!$C$2:$C153,'All Data'!$C154)=0),1,0)</f>
        <v>0</v>
      </c>
      <c r="J154" t="str">
        <f>IF($I154=1,SUM($I$2:I154),"")</f>
        <v/>
      </c>
      <c r="K154">
        <f t="shared" si="13"/>
        <v>0</v>
      </c>
      <c r="L154">
        <f>IF(AND($K154=1,'All Data'!$D154&lt;&gt;"",COUNTIFS($K$2:K153,1,'All Data'!$D$2:$D153,'All Data'!$D154)=0),1,0)</f>
        <v>0</v>
      </c>
      <c r="M154" t="str">
        <f>IF($L154=1,SUM($L$2:L154),"")</f>
        <v/>
      </c>
      <c r="N154">
        <f t="shared" si="14"/>
        <v>0</v>
      </c>
      <c r="O154">
        <f>IF(AND($N154=1,'All Data'!$E154&lt;&gt;"",COUNTIFS($N$2:N153,1,'All Data'!$E$2:$E153,'All Data'!$E154)=0),1,0)</f>
        <v>0</v>
      </c>
      <c r="P154" t="str">
        <f>IF($O154=1,SUM($O$2:O154),"")</f>
        <v/>
      </c>
      <c r="Q154">
        <f t="shared" si="15"/>
        <v>0</v>
      </c>
      <c r="R154">
        <f>IF(AND($Q154=1,'All Data'!$F154&lt;&gt;"",COUNTIFS($Q$2:Q153,1,'All Data'!$F$2:$F153,'All Data'!$F154)=0),1,0)</f>
        <v>0</v>
      </c>
      <c r="S154" t="str">
        <f>IF($R154=1,SUM($R$2:R154),"")</f>
        <v/>
      </c>
      <c r="T154">
        <f t="shared" si="16"/>
        <v>0</v>
      </c>
      <c r="U154">
        <f>IF(AND($T154=1,'All Data'!$G154&lt;&gt;"",COUNTIFS($T$2:T153,1,'All Data'!$G$2:$G153,'All Data'!$G154)=0),1,0)</f>
        <v>0</v>
      </c>
      <c r="V154" t="str">
        <f>IF($U154=1,SUM($U$2:U154),"")</f>
        <v/>
      </c>
      <c r="W154">
        <f t="shared" si="17"/>
        <v>0</v>
      </c>
      <c r="X154" t="str">
        <f>IF($W154=1,SUM($W$2:W154),"")</f>
        <v/>
      </c>
    </row>
    <row r="155" spans="1:24" x14ac:dyDescent="0.3">
      <c r="A155">
        <f>IF(OR($BA1="Any",$BA1=""),1,IF('All Data'!$B155=$BA1,1,0))</f>
        <v>0</v>
      </c>
      <c r="B155">
        <f>IF(OR($BA2="Any",$BA2=""),1,IF('All Data'!$C155=$BA2,1,0))</f>
        <v>1</v>
      </c>
      <c r="C155">
        <f>IF(OR($BA3="Any",$BA3=""),1,IF('All Data'!$D155=$BA3,1,0))</f>
        <v>1</v>
      </c>
      <c r="D155">
        <f>IF(OR($BA4="Any",$BA4=""),1,IF('All Data'!$E155=$BA4,1,0))</f>
        <v>1</v>
      </c>
      <c r="E155">
        <f>IF(OR($BA5="Any",$BA5=""),1,IF('All Data'!$F155=$BA5,1,0))</f>
        <v>1</v>
      </c>
      <c r="F155">
        <f>IF(OR($BA6="Any",$BA6=""),1,IF('All Data'!$G155=$BA6,1,0))</f>
        <v>0</v>
      </c>
      <c r="G155">
        <f>IF(AND(OR($BA$8="",ISNUMBER(SEARCH($BA$8,'All Data'!$K155&amp;" "&amp;'All Data'!$M155))),OR($BA$9="",ISNUMBER(SEARCH($BA$9,'All Data'!$K155&amp;" "&amp;'All Data'!$M155))),OR($BA$10="",ISNUMBER(SEARCH($BA$10,'All Data'!$K155&amp;" "&amp;'All Data'!$M155))),OR($BA$11="",ISNUMBER(SEARCH($BA$11,'All Data'!$K155&amp;" "&amp;'All Data'!$M155))),OR($BA$12="",ISNUMBER(SEARCH($BA$12,'All Data'!$K155&amp;" "&amp;'All Data'!$M155))),OR($BA$13="",ISNUMBER(SEARCH($BA$13,'All Data'!$K155&amp;" "&amp;'All Data'!$M155))),OR($BA$14="",ISNUMBER(SEARCH($BA$14,'All Data'!$K155&amp;" "&amp;'All Data'!$M155))),OR($BA$15="",ISNUMBER(SEARCH($BA$15,'All Data'!$K155&amp;" "&amp;'All Data'!$M155)))),1,0)</f>
        <v>1</v>
      </c>
      <c r="H155">
        <f t="shared" si="12"/>
        <v>0</v>
      </c>
      <c r="I155">
        <f>IF(AND($H155=1,'All Data'!$C155&lt;&gt;"",COUNTIFS($H$2:H154,1,'All Data'!$C$2:$C154,'All Data'!$C155)=0),1,0)</f>
        <v>0</v>
      </c>
      <c r="J155" t="str">
        <f>IF($I155=1,SUM($I$2:I155),"")</f>
        <v/>
      </c>
      <c r="K155">
        <f t="shared" si="13"/>
        <v>0</v>
      </c>
      <c r="L155">
        <f>IF(AND($K155=1,'All Data'!$D155&lt;&gt;"",COUNTIFS($K$2:K154,1,'All Data'!$D$2:$D154,'All Data'!$D155)=0),1,0)</f>
        <v>0</v>
      </c>
      <c r="M155" t="str">
        <f>IF($L155=1,SUM($L$2:L155),"")</f>
        <v/>
      </c>
      <c r="N155">
        <f t="shared" si="14"/>
        <v>0</v>
      </c>
      <c r="O155">
        <f>IF(AND($N155=1,'All Data'!$E155&lt;&gt;"",COUNTIFS($N$2:N154,1,'All Data'!$E$2:$E154,'All Data'!$E155)=0),1,0)</f>
        <v>0</v>
      </c>
      <c r="P155" t="str">
        <f>IF($O155=1,SUM($O$2:O155),"")</f>
        <v/>
      </c>
      <c r="Q155">
        <f t="shared" si="15"/>
        <v>0</v>
      </c>
      <c r="R155">
        <f>IF(AND($Q155=1,'All Data'!$F155&lt;&gt;"",COUNTIFS($Q$2:Q154,1,'All Data'!$F$2:$F154,'All Data'!$F155)=0),1,0)</f>
        <v>0</v>
      </c>
      <c r="S155" t="str">
        <f>IF($R155=1,SUM($R$2:R155),"")</f>
        <v/>
      </c>
      <c r="T155">
        <f t="shared" si="16"/>
        <v>0</v>
      </c>
      <c r="U155">
        <f>IF(AND($T155=1,'All Data'!$G155&lt;&gt;"",COUNTIFS($T$2:T154,1,'All Data'!$G$2:$G154,'All Data'!$G155)=0),1,0)</f>
        <v>0</v>
      </c>
      <c r="V155" t="str">
        <f>IF($U155=1,SUM($U$2:U155),"")</f>
        <v/>
      </c>
      <c r="W155">
        <f t="shared" si="17"/>
        <v>0</v>
      </c>
      <c r="X155" t="str">
        <f>IF($W155=1,SUM($W$2:W155),"")</f>
        <v/>
      </c>
    </row>
    <row r="156" spans="1:24" x14ac:dyDescent="0.3">
      <c r="A156">
        <f>IF(OR($BA1="Any",$BA1=""),1,IF('All Data'!$B156=$BA1,1,0))</f>
        <v>0</v>
      </c>
      <c r="B156">
        <f>IF(OR($BA2="Any",$BA2=""),1,IF('All Data'!$C156=$BA2,1,0))</f>
        <v>1</v>
      </c>
      <c r="C156">
        <f>IF(OR($BA3="Any",$BA3=""),1,IF('All Data'!$D156=$BA3,1,0))</f>
        <v>1</v>
      </c>
      <c r="D156">
        <f>IF(OR($BA4="Any",$BA4=""),1,IF('All Data'!$E156=$BA4,1,0))</f>
        <v>1</v>
      </c>
      <c r="E156">
        <f>IF(OR($BA5="Any",$BA5=""),1,IF('All Data'!$F156=$BA5,1,0))</f>
        <v>1</v>
      </c>
      <c r="F156">
        <f>IF(OR($BA6="Any",$BA6=""),1,IF('All Data'!$G156=$BA6,1,0))</f>
        <v>0</v>
      </c>
      <c r="G156">
        <f>IF(AND(OR($BA$8="",ISNUMBER(SEARCH($BA$8,'All Data'!$K156&amp;" "&amp;'All Data'!$M156))),OR($BA$9="",ISNUMBER(SEARCH($BA$9,'All Data'!$K156&amp;" "&amp;'All Data'!$M156))),OR($BA$10="",ISNUMBER(SEARCH($BA$10,'All Data'!$K156&amp;" "&amp;'All Data'!$M156))),OR($BA$11="",ISNUMBER(SEARCH($BA$11,'All Data'!$K156&amp;" "&amp;'All Data'!$M156))),OR($BA$12="",ISNUMBER(SEARCH($BA$12,'All Data'!$K156&amp;" "&amp;'All Data'!$M156))),OR($BA$13="",ISNUMBER(SEARCH($BA$13,'All Data'!$K156&amp;" "&amp;'All Data'!$M156))),OR($BA$14="",ISNUMBER(SEARCH($BA$14,'All Data'!$K156&amp;" "&amp;'All Data'!$M156))),OR($BA$15="",ISNUMBER(SEARCH($BA$15,'All Data'!$K156&amp;" "&amp;'All Data'!$M156)))),1,0)</f>
        <v>1</v>
      </c>
      <c r="H156">
        <f t="shared" si="12"/>
        <v>0</v>
      </c>
      <c r="I156">
        <f>IF(AND($H156=1,'All Data'!$C156&lt;&gt;"",COUNTIFS($H$2:H155,1,'All Data'!$C$2:$C155,'All Data'!$C156)=0),1,0)</f>
        <v>0</v>
      </c>
      <c r="J156" t="str">
        <f>IF($I156=1,SUM($I$2:I156),"")</f>
        <v/>
      </c>
      <c r="K156">
        <f t="shared" si="13"/>
        <v>0</v>
      </c>
      <c r="L156">
        <f>IF(AND($K156=1,'All Data'!$D156&lt;&gt;"",COUNTIFS($K$2:K155,1,'All Data'!$D$2:$D155,'All Data'!$D156)=0),1,0)</f>
        <v>0</v>
      </c>
      <c r="M156" t="str">
        <f>IF($L156=1,SUM($L$2:L156),"")</f>
        <v/>
      </c>
      <c r="N156">
        <f t="shared" si="14"/>
        <v>0</v>
      </c>
      <c r="O156">
        <f>IF(AND($N156=1,'All Data'!$E156&lt;&gt;"",COUNTIFS($N$2:N155,1,'All Data'!$E$2:$E155,'All Data'!$E156)=0),1,0)</f>
        <v>0</v>
      </c>
      <c r="P156" t="str">
        <f>IF($O156=1,SUM($O$2:O156),"")</f>
        <v/>
      </c>
      <c r="Q156">
        <f t="shared" si="15"/>
        <v>0</v>
      </c>
      <c r="R156">
        <f>IF(AND($Q156=1,'All Data'!$F156&lt;&gt;"",COUNTIFS($Q$2:Q155,1,'All Data'!$F$2:$F155,'All Data'!$F156)=0),1,0)</f>
        <v>0</v>
      </c>
      <c r="S156" t="str">
        <f>IF($R156=1,SUM($R$2:R156),"")</f>
        <v/>
      </c>
      <c r="T156">
        <f t="shared" si="16"/>
        <v>0</v>
      </c>
      <c r="U156">
        <f>IF(AND($T156=1,'All Data'!$G156&lt;&gt;"",COUNTIFS($T$2:T155,1,'All Data'!$G$2:$G155,'All Data'!$G156)=0),1,0)</f>
        <v>0</v>
      </c>
      <c r="V156" t="str">
        <f>IF($U156=1,SUM($U$2:U156),"")</f>
        <v/>
      </c>
      <c r="W156">
        <f t="shared" si="17"/>
        <v>0</v>
      </c>
      <c r="X156" t="str">
        <f>IF($W156=1,SUM($W$2:W156),"")</f>
        <v/>
      </c>
    </row>
    <row r="157" spans="1:24" x14ac:dyDescent="0.3">
      <c r="A157">
        <f>IF(OR($BA1="Any",$BA1=""),1,IF('All Data'!$B157=$BA1,1,0))</f>
        <v>0</v>
      </c>
      <c r="B157">
        <f>IF(OR($BA2="Any",$BA2=""),1,IF('All Data'!$C157=$BA2,1,0))</f>
        <v>1</v>
      </c>
      <c r="C157">
        <f>IF(OR($BA3="Any",$BA3=""),1,IF('All Data'!$D157=$BA3,1,0))</f>
        <v>1</v>
      </c>
      <c r="D157">
        <f>IF(OR($BA4="Any",$BA4=""),1,IF('All Data'!$E157=$BA4,1,0))</f>
        <v>1</v>
      </c>
      <c r="E157">
        <f>IF(OR($BA5="Any",$BA5=""),1,IF('All Data'!$F157=$BA5,1,0))</f>
        <v>1</v>
      </c>
      <c r="F157">
        <f>IF(OR($BA6="Any",$BA6=""),1,IF('All Data'!$G157=$BA6,1,0))</f>
        <v>0</v>
      </c>
      <c r="G157">
        <f>IF(AND(OR($BA$8="",ISNUMBER(SEARCH($BA$8,'All Data'!$K157&amp;" "&amp;'All Data'!$M157))),OR($BA$9="",ISNUMBER(SEARCH($BA$9,'All Data'!$K157&amp;" "&amp;'All Data'!$M157))),OR($BA$10="",ISNUMBER(SEARCH($BA$10,'All Data'!$K157&amp;" "&amp;'All Data'!$M157))),OR($BA$11="",ISNUMBER(SEARCH($BA$11,'All Data'!$K157&amp;" "&amp;'All Data'!$M157))),OR($BA$12="",ISNUMBER(SEARCH($BA$12,'All Data'!$K157&amp;" "&amp;'All Data'!$M157))),OR($BA$13="",ISNUMBER(SEARCH($BA$13,'All Data'!$K157&amp;" "&amp;'All Data'!$M157))),OR($BA$14="",ISNUMBER(SEARCH($BA$14,'All Data'!$K157&amp;" "&amp;'All Data'!$M157))),OR($BA$15="",ISNUMBER(SEARCH($BA$15,'All Data'!$K157&amp;" "&amp;'All Data'!$M157)))),1,0)</f>
        <v>1</v>
      </c>
      <c r="H157">
        <f t="shared" si="12"/>
        <v>0</v>
      </c>
      <c r="I157">
        <f>IF(AND($H157=1,'All Data'!$C157&lt;&gt;"",COUNTIFS($H$2:H156,1,'All Data'!$C$2:$C156,'All Data'!$C157)=0),1,0)</f>
        <v>0</v>
      </c>
      <c r="J157" t="str">
        <f>IF($I157=1,SUM($I$2:I157),"")</f>
        <v/>
      </c>
      <c r="K157">
        <f t="shared" si="13"/>
        <v>0</v>
      </c>
      <c r="L157">
        <f>IF(AND($K157=1,'All Data'!$D157&lt;&gt;"",COUNTIFS($K$2:K156,1,'All Data'!$D$2:$D156,'All Data'!$D157)=0),1,0)</f>
        <v>0</v>
      </c>
      <c r="M157" t="str">
        <f>IF($L157=1,SUM($L$2:L157),"")</f>
        <v/>
      </c>
      <c r="N157">
        <f t="shared" si="14"/>
        <v>0</v>
      </c>
      <c r="O157">
        <f>IF(AND($N157=1,'All Data'!$E157&lt;&gt;"",COUNTIFS($N$2:N156,1,'All Data'!$E$2:$E156,'All Data'!$E157)=0),1,0)</f>
        <v>0</v>
      </c>
      <c r="P157" t="str">
        <f>IF($O157=1,SUM($O$2:O157),"")</f>
        <v/>
      </c>
      <c r="Q157">
        <f t="shared" si="15"/>
        <v>0</v>
      </c>
      <c r="R157">
        <f>IF(AND($Q157=1,'All Data'!$F157&lt;&gt;"",COUNTIFS($Q$2:Q156,1,'All Data'!$F$2:$F156,'All Data'!$F157)=0),1,0)</f>
        <v>0</v>
      </c>
      <c r="S157" t="str">
        <f>IF($R157=1,SUM($R$2:R157),"")</f>
        <v/>
      </c>
      <c r="T157">
        <f t="shared" si="16"/>
        <v>0</v>
      </c>
      <c r="U157">
        <f>IF(AND($T157=1,'All Data'!$G157&lt;&gt;"",COUNTIFS($T$2:T156,1,'All Data'!$G$2:$G156,'All Data'!$G157)=0),1,0)</f>
        <v>0</v>
      </c>
      <c r="V157" t="str">
        <f>IF($U157=1,SUM($U$2:U157),"")</f>
        <v/>
      </c>
      <c r="W157">
        <f t="shared" si="17"/>
        <v>0</v>
      </c>
      <c r="X157" t="str">
        <f>IF($W157=1,SUM($W$2:W157),"")</f>
        <v/>
      </c>
    </row>
    <row r="158" spans="1:24" x14ac:dyDescent="0.3">
      <c r="A158">
        <f>IF(OR($BA1="Any",$BA1=""),1,IF('All Data'!$B158=$BA1,1,0))</f>
        <v>0</v>
      </c>
      <c r="B158">
        <f>IF(OR($BA2="Any",$BA2=""),1,IF('All Data'!$C158=$BA2,1,0))</f>
        <v>1</v>
      </c>
      <c r="C158">
        <f>IF(OR($BA3="Any",$BA3=""),1,IF('All Data'!$D158=$BA3,1,0))</f>
        <v>1</v>
      </c>
      <c r="D158">
        <f>IF(OR($BA4="Any",$BA4=""),1,IF('All Data'!$E158=$BA4,1,0))</f>
        <v>1</v>
      </c>
      <c r="E158">
        <f>IF(OR($BA5="Any",$BA5=""),1,IF('All Data'!$F158=$BA5,1,0))</f>
        <v>1</v>
      </c>
      <c r="F158">
        <f>IF(OR($BA6="Any",$BA6=""),1,IF('All Data'!$G158=$BA6,1,0))</f>
        <v>0</v>
      </c>
      <c r="G158">
        <f>IF(AND(OR($BA$8="",ISNUMBER(SEARCH($BA$8,'All Data'!$K158&amp;" "&amp;'All Data'!$M158))),OR($BA$9="",ISNUMBER(SEARCH($BA$9,'All Data'!$K158&amp;" "&amp;'All Data'!$M158))),OR($BA$10="",ISNUMBER(SEARCH($BA$10,'All Data'!$K158&amp;" "&amp;'All Data'!$M158))),OR($BA$11="",ISNUMBER(SEARCH($BA$11,'All Data'!$K158&amp;" "&amp;'All Data'!$M158))),OR($BA$12="",ISNUMBER(SEARCH($BA$12,'All Data'!$K158&amp;" "&amp;'All Data'!$M158))),OR($BA$13="",ISNUMBER(SEARCH($BA$13,'All Data'!$K158&amp;" "&amp;'All Data'!$M158))),OR($BA$14="",ISNUMBER(SEARCH($BA$14,'All Data'!$K158&amp;" "&amp;'All Data'!$M158))),OR($BA$15="",ISNUMBER(SEARCH($BA$15,'All Data'!$K158&amp;" "&amp;'All Data'!$M158)))),1,0)</f>
        <v>1</v>
      </c>
      <c r="H158">
        <f t="shared" si="12"/>
        <v>0</v>
      </c>
      <c r="I158">
        <f>IF(AND($H158=1,'All Data'!$C158&lt;&gt;"",COUNTIFS($H$2:H157,1,'All Data'!$C$2:$C157,'All Data'!$C158)=0),1,0)</f>
        <v>0</v>
      </c>
      <c r="J158" t="str">
        <f>IF($I158=1,SUM($I$2:I158),"")</f>
        <v/>
      </c>
      <c r="K158">
        <f t="shared" si="13"/>
        <v>0</v>
      </c>
      <c r="L158">
        <f>IF(AND($K158=1,'All Data'!$D158&lt;&gt;"",COUNTIFS($K$2:K157,1,'All Data'!$D$2:$D157,'All Data'!$D158)=0),1,0)</f>
        <v>0</v>
      </c>
      <c r="M158" t="str">
        <f>IF($L158=1,SUM($L$2:L158),"")</f>
        <v/>
      </c>
      <c r="N158">
        <f t="shared" si="14"/>
        <v>0</v>
      </c>
      <c r="O158">
        <f>IF(AND($N158=1,'All Data'!$E158&lt;&gt;"",COUNTIFS($N$2:N157,1,'All Data'!$E$2:$E157,'All Data'!$E158)=0),1,0)</f>
        <v>0</v>
      </c>
      <c r="P158" t="str">
        <f>IF($O158=1,SUM($O$2:O158),"")</f>
        <v/>
      </c>
      <c r="Q158">
        <f t="shared" si="15"/>
        <v>0</v>
      </c>
      <c r="R158">
        <f>IF(AND($Q158=1,'All Data'!$F158&lt;&gt;"",COUNTIFS($Q$2:Q157,1,'All Data'!$F$2:$F157,'All Data'!$F158)=0),1,0)</f>
        <v>0</v>
      </c>
      <c r="S158" t="str">
        <f>IF($R158=1,SUM($R$2:R158),"")</f>
        <v/>
      </c>
      <c r="T158">
        <f t="shared" si="16"/>
        <v>0</v>
      </c>
      <c r="U158">
        <f>IF(AND($T158=1,'All Data'!$G158&lt;&gt;"",COUNTIFS($T$2:T157,1,'All Data'!$G$2:$G157,'All Data'!$G158)=0),1,0)</f>
        <v>0</v>
      </c>
      <c r="V158" t="str">
        <f>IF($U158=1,SUM($U$2:U158),"")</f>
        <v/>
      </c>
      <c r="W158">
        <f t="shared" si="17"/>
        <v>0</v>
      </c>
      <c r="X158" t="str">
        <f>IF($W158=1,SUM($W$2:W158),"")</f>
        <v/>
      </c>
    </row>
    <row r="159" spans="1:24" x14ac:dyDescent="0.3">
      <c r="A159">
        <f>IF(OR($BA1="Any",$BA1=""),1,IF('All Data'!$B159=$BA1,1,0))</f>
        <v>0</v>
      </c>
      <c r="B159">
        <f>IF(OR($BA2="Any",$BA2=""),1,IF('All Data'!$C159=$BA2,1,0))</f>
        <v>1</v>
      </c>
      <c r="C159">
        <f>IF(OR($BA3="Any",$BA3=""),1,IF('All Data'!$D159=$BA3,1,0))</f>
        <v>1</v>
      </c>
      <c r="D159">
        <f>IF(OR($BA4="Any",$BA4=""),1,IF('All Data'!$E159=$BA4,1,0))</f>
        <v>1</v>
      </c>
      <c r="E159">
        <f>IF(OR($BA5="Any",$BA5=""),1,IF('All Data'!$F159=$BA5,1,0))</f>
        <v>1</v>
      </c>
      <c r="F159">
        <f>IF(OR($BA6="Any",$BA6=""),1,IF('All Data'!$G159=$BA6,1,0))</f>
        <v>0</v>
      </c>
      <c r="G159">
        <f>IF(AND(OR($BA$8="",ISNUMBER(SEARCH($BA$8,'All Data'!$K159&amp;" "&amp;'All Data'!$M159))),OR($BA$9="",ISNUMBER(SEARCH($BA$9,'All Data'!$K159&amp;" "&amp;'All Data'!$M159))),OR($BA$10="",ISNUMBER(SEARCH($BA$10,'All Data'!$K159&amp;" "&amp;'All Data'!$M159))),OR($BA$11="",ISNUMBER(SEARCH($BA$11,'All Data'!$K159&amp;" "&amp;'All Data'!$M159))),OR($BA$12="",ISNUMBER(SEARCH($BA$12,'All Data'!$K159&amp;" "&amp;'All Data'!$M159))),OR($BA$13="",ISNUMBER(SEARCH($BA$13,'All Data'!$K159&amp;" "&amp;'All Data'!$M159))),OR($BA$14="",ISNUMBER(SEARCH($BA$14,'All Data'!$K159&amp;" "&amp;'All Data'!$M159))),OR($BA$15="",ISNUMBER(SEARCH($BA$15,'All Data'!$K159&amp;" "&amp;'All Data'!$M159)))),1,0)</f>
        <v>1</v>
      </c>
      <c r="H159">
        <f t="shared" si="12"/>
        <v>0</v>
      </c>
      <c r="I159">
        <f>IF(AND($H159=1,'All Data'!$C159&lt;&gt;"",COUNTIFS($H$2:H158,1,'All Data'!$C$2:$C158,'All Data'!$C159)=0),1,0)</f>
        <v>0</v>
      </c>
      <c r="J159" t="str">
        <f>IF($I159=1,SUM($I$2:I159),"")</f>
        <v/>
      </c>
      <c r="K159">
        <f t="shared" si="13"/>
        <v>0</v>
      </c>
      <c r="L159">
        <f>IF(AND($K159=1,'All Data'!$D159&lt;&gt;"",COUNTIFS($K$2:K158,1,'All Data'!$D$2:$D158,'All Data'!$D159)=0),1,0)</f>
        <v>0</v>
      </c>
      <c r="M159" t="str">
        <f>IF($L159=1,SUM($L$2:L159),"")</f>
        <v/>
      </c>
      <c r="N159">
        <f t="shared" si="14"/>
        <v>0</v>
      </c>
      <c r="O159">
        <f>IF(AND($N159=1,'All Data'!$E159&lt;&gt;"",COUNTIFS($N$2:N158,1,'All Data'!$E$2:$E158,'All Data'!$E159)=0),1,0)</f>
        <v>0</v>
      </c>
      <c r="P159" t="str">
        <f>IF($O159=1,SUM($O$2:O159),"")</f>
        <v/>
      </c>
      <c r="Q159">
        <f t="shared" si="15"/>
        <v>0</v>
      </c>
      <c r="R159">
        <f>IF(AND($Q159=1,'All Data'!$F159&lt;&gt;"",COUNTIFS($Q$2:Q158,1,'All Data'!$F$2:$F158,'All Data'!$F159)=0),1,0)</f>
        <v>0</v>
      </c>
      <c r="S159" t="str">
        <f>IF($R159=1,SUM($R$2:R159),"")</f>
        <v/>
      </c>
      <c r="T159">
        <f t="shared" si="16"/>
        <v>0</v>
      </c>
      <c r="U159">
        <f>IF(AND($T159=1,'All Data'!$G159&lt;&gt;"",COUNTIFS($T$2:T158,1,'All Data'!$G$2:$G158,'All Data'!$G159)=0),1,0)</f>
        <v>0</v>
      </c>
      <c r="V159" t="str">
        <f>IF($U159=1,SUM($U$2:U159),"")</f>
        <v/>
      </c>
      <c r="W159">
        <f t="shared" si="17"/>
        <v>0</v>
      </c>
      <c r="X159" t="str">
        <f>IF($W159=1,SUM($W$2:W159),"")</f>
        <v/>
      </c>
    </row>
    <row r="160" spans="1:24" x14ac:dyDescent="0.3">
      <c r="A160">
        <f>IF(OR($BA1="Any",$BA1=""),1,IF('All Data'!$B160=$BA1,1,0))</f>
        <v>0</v>
      </c>
      <c r="B160">
        <f>IF(OR($BA2="Any",$BA2=""),1,IF('All Data'!$C160=$BA2,1,0))</f>
        <v>1</v>
      </c>
      <c r="C160">
        <f>IF(OR($BA3="Any",$BA3=""),1,IF('All Data'!$D160=$BA3,1,0))</f>
        <v>1</v>
      </c>
      <c r="D160">
        <f>IF(OR($BA4="Any",$BA4=""),1,IF('All Data'!$E160=$BA4,1,0))</f>
        <v>1</v>
      </c>
      <c r="E160">
        <f>IF(OR($BA5="Any",$BA5=""),1,IF('All Data'!$F160=$BA5,1,0))</f>
        <v>1</v>
      </c>
      <c r="F160">
        <f>IF(OR($BA6="Any",$BA6=""),1,IF('All Data'!$G160=$BA6,1,0))</f>
        <v>0</v>
      </c>
      <c r="G160">
        <f>IF(AND(OR($BA$8="",ISNUMBER(SEARCH($BA$8,'All Data'!$K160&amp;" "&amp;'All Data'!$M160))),OR($BA$9="",ISNUMBER(SEARCH($BA$9,'All Data'!$K160&amp;" "&amp;'All Data'!$M160))),OR($BA$10="",ISNUMBER(SEARCH($BA$10,'All Data'!$K160&amp;" "&amp;'All Data'!$M160))),OR($BA$11="",ISNUMBER(SEARCH($BA$11,'All Data'!$K160&amp;" "&amp;'All Data'!$M160))),OR($BA$12="",ISNUMBER(SEARCH($BA$12,'All Data'!$K160&amp;" "&amp;'All Data'!$M160))),OR($BA$13="",ISNUMBER(SEARCH($BA$13,'All Data'!$K160&amp;" "&amp;'All Data'!$M160))),OR($BA$14="",ISNUMBER(SEARCH($BA$14,'All Data'!$K160&amp;" "&amp;'All Data'!$M160))),OR($BA$15="",ISNUMBER(SEARCH($BA$15,'All Data'!$K160&amp;" "&amp;'All Data'!$M160)))),1,0)</f>
        <v>1</v>
      </c>
      <c r="H160">
        <f t="shared" si="12"/>
        <v>0</v>
      </c>
      <c r="I160">
        <f>IF(AND($H160=1,'All Data'!$C160&lt;&gt;"",COUNTIFS($H$2:H159,1,'All Data'!$C$2:$C159,'All Data'!$C160)=0),1,0)</f>
        <v>0</v>
      </c>
      <c r="J160" t="str">
        <f>IF($I160=1,SUM($I$2:I160),"")</f>
        <v/>
      </c>
      <c r="K160">
        <f t="shared" si="13"/>
        <v>0</v>
      </c>
      <c r="L160">
        <f>IF(AND($K160=1,'All Data'!$D160&lt;&gt;"",COUNTIFS($K$2:K159,1,'All Data'!$D$2:$D159,'All Data'!$D160)=0),1,0)</f>
        <v>0</v>
      </c>
      <c r="M160" t="str">
        <f>IF($L160=1,SUM($L$2:L160),"")</f>
        <v/>
      </c>
      <c r="N160">
        <f t="shared" si="14"/>
        <v>0</v>
      </c>
      <c r="O160">
        <f>IF(AND($N160=1,'All Data'!$E160&lt;&gt;"",COUNTIFS($N$2:N159,1,'All Data'!$E$2:$E159,'All Data'!$E160)=0),1,0)</f>
        <v>0</v>
      </c>
      <c r="P160" t="str">
        <f>IF($O160=1,SUM($O$2:O160),"")</f>
        <v/>
      </c>
      <c r="Q160">
        <f t="shared" si="15"/>
        <v>0</v>
      </c>
      <c r="R160">
        <f>IF(AND($Q160=1,'All Data'!$F160&lt;&gt;"",COUNTIFS($Q$2:Q159,1,'All Data'!$F$2:$F159,'All Data'!$F160)=0),1,0)</f>
        <v>0</v>
      </c>
      <c r="S160" t="str">
        <f>IF($R160=1,SUM($R$2:R160),"")</f>
        <v/>
      </c>
      <c r="T160">
        <f t="shared" si="16"/>
        <v>0</v>
      </c>
      <c r="U160">
        <f>IF(AND($T160=1,'All Data'!$G160&lt;&gt;"",COUNTIFS($T$2:T159,1,'All Data'!$G$2:$G159,'All Data'!$G160)=0),1,0)</f>
        <v>0</v>
      </c>
      <c r="V160" t="str">
        <f>IF($U160=1,SUM($U$2:U160),"")</f>
        <v/>
      </c>
      <c r="W160">
        <f t="shared" si="17"/>
        <v>0</v>
      </c>
      <c r="X160" t="str">
        <f>IF($W160=1,SUM($W$2:W160),"")</f>
        <v/>
      </c>
    </row>
    <row r="161" spans="1:24" x14ac:dyDescent="0.3">
      <c r="A161">
        <f>IF(OR($BA1="Any",$BA1=""),1,IF('All Data'!$B161=$BA1,1,0))</f>
        <v>0</v>
      </c>
      <c r="B161">
        <f>IF(OR($BA2="Any",$BA2=""),1,IF('All Data'!$C161=$BA2,1,0))</f>
        <v>1</v>
      </c>
      <c r="C161">
        <f>IF(OR($BA3="Any",$BA3=""),1,IF('All Data'!$D161=$BA3,1,0))</f>
        <v>1</v>
      </c>
      <c r="D161">
        <f>IF(OR($BA4="Any",$BA4=""),1,IF('All Data'!$E161=$BA4,1,0))</f>
        <v>1</v>
      </c>
      <c r="E161">
        <f>IF(OR($BA5="Any",$BA5=""),1,IF('All Data'!$F161=$BA5,1,0))</f>
        <v>1</v>
      </c>
      <c r="F161">
        <f>IF(OR($BA6="Any",$BA6=""),1,IF('All Data'!$G161=$BA6,1,0))</f>
        <v>0</v>
      </c>
      <c r="G161">
        <f>IF(AND(OR($BA$8="",ISNUMBER(SEARCH($BA$8,'All Data'!$K161&amp;" "&amp;'All Data'!$M161))),OR($BA$9="",ISNUMBER(SEARCH($BA$9,'All Data'!$K161&amp;" "&amp;'All Data'!$M161))),OR($BA$10="",ISNUMBER(SEARCH($BA$10,'All Data'!$K161&amp;" "&amp;'All Data'!$M161))),OR($BA$11="",ISNUMBER(SEARCH($BA$11,'All Data'!$K161&amp;" "&amp;'All Data'!$M161))),OR($BA$12="",ISNUMBER(SEARCH($BA$12,'All Data'!$K161&amp;" "&amp;'All Data'!$M161))),OR($BA$13="",ISNUMBER(SEARCH($BA$13,'All Data'!$K161&amp;" "&amp;'All Data'!$M161))),OR($BA$14="",ISNUMBER(SEARCH($BA$14,'All Data'!$K161&amp;" "&amp;'All Data'!$M161))),OR($BA$15="",ISNUMBER(SEARCH($BA$15,'All Data'!$K161&amp;" "&amp;'All Data'!$M161)))),1,0)</f>
        <v>1</v>
      </c>
      <c r="H161">
        <f t="shared" si="12"/>
        <v>0</v>
      </c>
      <c r="I161">
        <f>IF(AND($H161=1,'All Data'!$C161&lt;&gt;"",COUNTIFS($H$2:H160,1,'All Data'!$C$2:$C160,'All Data'!$C161)=0),1,0)</f>
        <v>0</v>
      </c>
      <c r="J161" t="str">
        <f>IF($I161=1,SUM($I$2:I161),"")</f>
        <v/>
      </c>
      <c r="K161">
        <f t="shared" si="13"/>
        <v>0</v>
      </c>
      <c r="L161">
        <f>IF(AND($K161=1,'All Data'!$D161&lt;&gt;"",COUNTIFS($K$2:K160,1,'All Data'!$D$2:$D160,'All Data'!$D161)=0),1,0)</f>
        <v>0</v>
      </c>
      <c r="M161" t="str">
        <f>IF($L161=1,SUM($L$2:L161),"")</f>
        <v/>
      </c>
      <c r="N161">
        <f t="shared" si="14"/>
        <v>0</v>
      </c>
      <c r="O161">
        <f>IF(AND($N161=1,'All Data'!$E161&lt;&gt;"",COUNTIFS($N$2:N160,1,'All Data'!$E$2:$E160,'All Data'!$E161)=0),1,0)</f>
        <v>0</v>
      </c>
      <c r="P161" t="str">
        <f>IF($O161=1,SUM($O$2:O161),"")</f>
        <v/>
      </c>
      <c r="Q161">
        <f t="shared" si="15"/>
        <v>0</v>
      </c>
      <c r="R161">
        <f>IF(AND($Q161=1,'All Data'!$F161&lt;&gt;"",COUNTIFS($Q$2:Q160,1,'All Data'!$F$2:$F160,'All Data'!$F161)=0),1,0)</f>
        <v>0</v>
      </c>
      <c r="S161" t="str">
        <f>IF($R161=1,SUM($R$2:R161),"")</f>
        <v/>
      </c>
      <c r="T161">
        <f t="shared" si="16"/>
        <v>0</v>
      </c>
      <c r="U161">
        <f>IF(AND($T161=1,'All Data'!$G161&lt;&gt;"",COUNTIFS($T$2:T160,1,'All Data'!$G$2:$G160,'All Data'!$G161)=0),1,0)</f>
        <v>0</v>
      </c>
      <c r="V161" t="str">
        <f>IF($U161=1,SUM($U$2:U161),"")</f>
        <v/>
      </c>
      <c r="W161">
        <f t="shared" si="17"/>
        <v>0</v>
      </c>
      <c r="X161" t="str">
        <f>IF($W161=1,SUM($W$2:W161),"")</f>
        <v/>
      </c>
    </row>
    <row r="162" spans="1:24" x14ac:dyDescent="0.3">
      <c r="A162">
        <f>IF(OR($BA1="Any",$BA1=""),1,IF('All Data'!$B162=$BA1,1,0))</f>
        <v>0</v>
      </c>
      <c r="B162">
        <f>IF(OR($BA2="Any",$BA2=""),1,IF('All Data'!$C162=$BA2,1,0))</f>
        <v>1</v>
      </c>
      <c r="C162">
        <f>IF(OR($BA3="Any",$BA3=""),1,IF('All Data'!$D162=$BA3,1,0))</f>
        <v>1</v>
      </c>
      <c r="D162">
        <f>IF(OR($BA4="Any",$BA4=""),1,IF('All Data'!$E162=$BA4,1,0))</f>
        <v>1</v>
      </c>
      <c r="E162">
        <f>IF(OR($BA5="Any",$BA5=""),1,IF('All Data'!$F162=$BA5,1,0))</f>
        <v>1</v>
      </c>
      <c r="F162">
        <f>IF(OR($BA6="Any",$BA6=""),1,IF('All Data'!$G162=$BA6,1,0))</f>
        <v>0</v>
      </c>
      <c r="G162">
        <f>IF(AND(OR($BA$8="",ISNUMBER(SEARCH($BA$8,'All Data'!$K162&amp;" "&amp;'All Data'!$M162))),OR($BA$9="",ISNUMBER(SEARCH($BA$9,'All Data'!$K162&amp;" "&amp;'All Data'!$M162))),OR($BA$10="",ISNUMBER(SEARCH($BA$10,'All Data'!$K162&amp;" "&amp;'All Data'!$M162))),OR($BA$11="",ISNUMBER(SEARCH($BA$11,'All Data'!$K162&amp;" "&amp;'All Data'!$M162))),OR($BA$12="",ISNUMBER(SEARCH($BA$12,'All Data'!$K162&amp;" "&amp;'All Data'!$M162))),OR($BA$13="",ISNUMBER(SEARCH($BA$13,'All Data'!$K162&amp;" "&amp;'All Data'!$M162))),OR($BA$14="",ISNUMBER(SEARCH($BA$14,'All Data'!$K162&amp;" "&amp;'All Data'!$M162))),OR($BA$15="",ISNUMBER(SEARCH($BA$15,'All Data'!$K162&amp;" "&amp;'All Data'!$M162)))),1,0)</f>
        <v>1</v>
      </c>
      <c r="H162">
        <f t="shared" si="12"/>
        <v>0</v>
      </c>
      <c r="I162">
        <f>IF(AND($H162=1,'All Data'!$C162&lt;&gt;"",COUNTIFS($H$2:H161,1,'All Data'!$C$2:$C161,'All Data'!$C162)=0),1,0)</f>
        <v>0</v>
      </c>
      <c r="J162" t="str">
        <f>IF($I162=1,SUM($I$2:I162),"")</f>
        <v/>
      </c>
      <c r="K162">
        <f t="shared" si="13"/>
        <v>0</v>
      </c>
      <c r="L162">
        <f>IF(AND($K162=1,'All Data'!$D162&lt;&gt;"",COUNTIFS($K$2:K161,1,'All Data'!$D$2:$D161,'All Data'!$D162)=0),1,0)</f>
        <v>0</v>
      </c>
      <c r="M162" t="str">
        <f>IF($L162=1,SUM($L$2:L162),"")</f>
        <v/>
      </c>
      <c r="N162">
        <f t="shared" si="14"/>
        <v>0</v>
      </c>
      <c r="O162">
        <f>IF(AND($N162=1,'All Data'!$E162&lt;&gt;"",COUNTIFS($N$2:N161,1,'All Data'!$E$2:$E161,'All Data'!$E162)=0),1,0)</f>
        <v>0</v>
      </c>
      <c r="P162" t="str">
        <f>IF($O162=1,SUM($O$2:O162),"")</f>
        <v/>
      </c>
      <c r="Q162">
        <f t="shared" si="15"/>
        <v>0</v>
      </c>
      <c r="R162">
        <f>IF(AND($Q162=1,'All Data'!$F162&lt;&gt;"",COUNTIFS($Q$2:Q161,1,'All Data'!$F$2:$F161,'All Data'!$F162)=0),1,0)</f>
        <v>0</v>
      </c>
      <c r="S162" t="str">
        <f>IF($R162=1,SUM($R$2:R162),"")</f>
        <v/>
      </c>
      <c r="T162">
        <f t="shared" si="16"/>
        <v>0</v>
      </c>
      <c r="U162">
        <f>IF(AND($T162=1,'All Data'!$G162&lt;&gt;"",COUNTIFS($T$2:T161,1,'All Data'!$G$2:$G161,'All Data'!$G162)=0),1,0)</f>
        <v>0</v>
      </c>
      <c r="V162" t="str">
        <f>IF($U162=1,SUM($U$2:U162),"")</f>
        <v/>
      </c>
      <c r="W162">
        <f t="shared" si="17"/>
        <v>0</v>
      </c>
      <c r="X162" t="str">
        <f>IF($W162=1,SUM($W$2:W162),"")</f>
        <v/>
      </c>
    </row>
    <row r="163" spans="1:24" x14ac:dyDescent="0.3">
      <c r="A163">
        <f>IF(OR($BA1="Any",$BA1=""),1,IF('All Data'!$B163=$BA1,1,0))</f>
        <v>0</v>
      </c>
      <c r="B163">
        <f>IF(OR($BA2="Any",$BA2=""),1,IF('All Data'!$C163=$BA2,1,0))</f>
        <v>1</v>
      </c>
      <c r="C163">
        <f>IF(OR($BA3="Any",$BA3=""),1,IF('All Data'!$D163=$BA3,1,0))</f>
        <v>1</v>
      </c>
      <c r="D163">
        <f>IF(OR($BA4="Any",$BA4=""),1,IF('All Data'!$E163=$BA4,1,0))</f>
        <v>1</v>
      </c>
      <c r="E163">
        <f>IF(OR($BA5="Any",$BA5=""),1,IF('All Data'!$F163=$BA5,1,0))</f>
        <v>1</v>
      </c>
      <c r="F163">
        <f>IF(OR($BA6="Any",$BA6=""),1,IF('All Data'!$G163=$BA6,1,0))</f>
        <v>0</v>
      </c>
      <c r="G163">
        <f>IF(AND(OR($BA$8="",ISNUMBER(SEARCH($BA$8,'All Data'!$K163&amp;" "&amp;'All Data'!$M163))),OR($BA$9="",ISNUMBER(SEARCH($BA$9,'All Data'!$K163&amp;" "&amp;'All Data'!$M163))),OR($BA$10="",ISNUMBER(SEARCH($BA$10,'All Data'!$K163&amp;" "&amp;'All Data'!$M163))),OR($BA$11="",ISNUMBER(SEARCH($BA$11,'All Data'!$K163&amp;" "&amp;'All Data'!$M163))),OR($BA$12="",ISNUMBER(SEARCH($BA$12,'All Data'!$K163&amp;" "&amp;'All Data'!$M163))),OR($BA$13="",ISNUMBER(SEARCH($BA$13,'All Data'!$K163&amp;" "&amp;'All Data'!$M163))),OR($BA$14="",ISNUMBER(SEARCH($BA$14,'All Data'!$K163&amp;" "&amp;'All Data'!$M163))),OR($BA$15="",ISNUMBER(SEARCH($BA$15,'All Data'!$K163&amp;" "&amp;'All Data'!$M163)))),1,0)</f>
        <v>1</v>
      </c>
      <c r="H163">
        <f t="shared" si="12"/>
        <v>0</v>
      </c>
      <c r="I163">
        <f>IF(AND($H163=1,'All Data'!$C163&lt;&gt;"",COUNTIFS($H$2:H162,1,'All Data'!$C$2:$C162,'All Data'!$C163)=0),1,0)</f>
        <v>0</v>
      </c>
      <c r="J163" t="str">
        <f>IF($I163=1,SUM($I$2:I163),"")</f>
        <v/>
      </c>
      <c r="K163">
        <f t="shared" si="13"/>
        <v>0</v>
      </c>
      <c r="L163">
        <f>IF(AND($K163=1,'All Data'!$D163&lt;&gt;"",COUNTIFS($K$2:K162,1,'All Data'!$D$2:$D162,'All Data'!$D163)=0),1,0)</f>
        <v>0</v>
      </c>
      <c r="M163" t="str">
        <f>IF($L163=1,SUM($L$2:L163),"")</f>
        <v/>
      </c>
      <c r="N163">
        <f t="shared" si="14"/>
        <v>0</v>
      </c>
      <c r="O163">
        <f>IF(AND($N163=1,'All Data'!$E163&lt;&gt;"",COUNTIFS($N$2:N162,1,'All Data'!$E$2:$E162,'All Data'!$E163)=0),1,0)</f>
        <v>0</v>
      </c>
      <c r="P163" t="str">
        <f>IF($O163=1,SUM($O$2:O163),"")</f>
        <v/>
      </c>
      <c r="Q163">
        <f t="shared" si="15"/>
        <v>0</v>
      </c>
      <c r="R163">
        <f>IF(AND($Q163=1,'All Data'!$F163&lt;&gt;"",COUNTIFS($Q$2:Q162,1,'All Data'!$F$2:$F162,'All Data'!$F163)=0),1,0)</f>
        <v>0</v>
      </c>
      <c r="S163" t="str">
        <f>IF($R163=1,SUM($R$2:R163),"")</f>
        <v/>
      </c>
      <c r="T163">
        <f t="shared" si="16"/>
        <v>0</v>
      </c>
      <c r="U163">
        <f>IF(AND($T163=1,'All Data'!$G163&lt;&gt;"",COUNTIFS($T$2:T162,1,'All Data'!$G$2:$G162,'All Data'!$G163)=0),1,0)</f>
        <v>0</v>
      </c>
      <c r="V163" t="str">
        <f>IF($U163=1,SUM($U$2:U163),"")</f>
        <v/>
      </c>
      <c r="W163">
        <f t="shared" si="17"/>
        <v>0</v>
      </c>
      <c r="X163" t="str">
        <f>IF($W163=1,SUM($W$2:W163),"")</f>
        <v/>
      </c>
    </row>
    <row r="164" spans="1:24" x14ac:dyDescent="0.3">
      <c r="A164">
        <f>IF(OR($BA1="Any",$BA1=""),1,IF('All Data'!$B164=$BA1,1,0))</f>
        <v>0</v>
      </c>
      <c r="B164">
        <f>IF(OR($BA2="Any",$BA2=""),1,IF('All Data'!$C164=$BA2,1,0))</f>
        <v>1</v>
      </c>
      <c r="C164">
        <f>IF(OR($BA3="Any",$BA3=""),1,IF('All Data'!$D164=$BA3,1,0))</f>
        <v>1</v>
      </c>
      <c r="D164">
        <f>IF(OR($BA4="Any",$BA4=""),1,IF('All Data'!$E164=$BA4,1,0))</f>
        <v>1</v>
      </c>
      <c r="E164">
        <f>IF(OR($BA5="Any",$BA5=""),1,IF('All Data'!$F164=$BA5,1,0))</f>
        <v>1</v>
      </c>
      <c r="F164">
        <f>IF(OR($BA6="Any",$BA6=""),1,IF('All Data'!$G164=$BA6,1,0))</f>
        <v>0</v>
      </c>
      <c r="G164">
        <f>IF(AND(OR($BA$8="",ISNUMBER(SEARCH($BA$8,'All Data'!$K164&amp;" "&amp;'All Data'!$M164))),OR($BA$9="",ISNUMBER(SEARCH($BA$9,'All Data'!$K164&amp;" "&amp;'All Data'!$M164))),OR($BA$10="",ISNUMBER(SEARCH($BA$10,'All Data'!$K164&amp;" "&amp;'All Data'!$M164))),OR($BA$11="",ISNUMBER(SEARCH($BA$11,'All Data'!$K164&amp;" "&amp;'All Data'!$M164))),OR($BA$12="",ISNUMBER(SEARCH($BA$12,'All Data'!$K164&amp;" "&amp;'All Data'!$M164))),OR($BA$13="",ISNUMBER(SEARCH($BA$13,'All Data'!$K164&amp;" "&amp;'All Data'!$M164))),OR($BA$14="",ISNUMBER(SEARCH($BA$14,'All Data'!$K164&amp;" "&amp;'All Data'!$M164))),OR($BA$15="",ISNUMBER(SEARCH($BA$15,'All Data'!$K164&amp;" "&amp;'All Data'!$M164)))),1,0)</f>
        <v>1</v>
      </c>
      <c r="H164">
        <f t="shared" si="12"/>
        <v>0</v>
      </c>
      <c r="I164">
        <f>IF(AND($H164=1,'All Data'!$C164&lt;&gt;"",COUNTIFS($H$2:H163,1,'All Data'!$C$2:$C163,'All Data'!$C164)=0),1,0)</f>
        <v>0</v>
      </c>
      <c r="J164" t="str">
        <f>IF($I164=1,SUM($I$2:I164),"")</f>
        <v/>
      </c>
      <c r="K164">
        <f t="shared" si="13"/>
        <v>0</v>
      </c>
      <c r="L164">
        <f>IF(AND($K164=1,'All Data'!$D164&lt;&gt;"",COUNTIFS($K$2:K163,1,'All Data'!$D$2:$D163,'All Data'!$D164)=0),1,0)</f>
        <v>0</v>
      </c>
      <c r="M164" t="str">
        <f>IF($L164=1,SUM($L$2:L164),"")</f>
        <v/>
      </c>
      <c r="N164">
        <f t="shared" si="14"/>
        <v>0</v>
      </c>
      <c r="O164">
        <f>IF(AND($N164=1,'All Data'!$E164&lt;&gt;"",COUNTIFS($N$2:N163,1,'All Data'!$E$2:$E163,'All Data'!$E164)=0),1,0)</f>
        <v>0</v>
      </c>
      <c r="P164" t="str">
        <f>IF($O164=1,SUM($O$2:O164),"")</f>
        <v/>
      </c>
      <c r="Q164">
        <f t="shared" si="15"/>
        <v>0</v>
      </c>
      <c r="R164">
        <f>IF(AND($Q164=1,'All Data'!$F164&lt;&gt;"",COUNTIFS($Q$2:Q163,1,'All Data'!$F$2:$F163,'All Data'!$F164)=0),1,0)</f>
        <v>0</v>
      </c>
      <c r="S164" t="str">
        <f>IF($R164=1,SUM($R$2:R164),"")</f>
        <v/>
      </c>
      <c r="T164">
        <f t="shared" si="16"/>
        <v>0</v>
      </c>
      <c r="U164">
        <f>IF(AND($T164=1,'All Data'!$G164&lt;&gt;"",COUNTIFS($T$2:T163,1,'All Data'!$G$2:$G163,'All Data'!$G164)=0),1,0)</f>
        <v>0</v>
      </c>
      <c r="V164" t="str">
        <f>IF($U164=1,SUM($U$2:U164),"")</f>
        <v/>
      </c>
      <c r="W164">
        <f t="shared" si="17"/>
        <v>0</v>
      </c>
      <c r="X164" t="str">
        <f>IF($W164=1,SUM($W$2:W164),"")</f>
        <v/>
      </c>
    </row>
    <row r="165" spans="1:24" x14ac:dyDescent="0.3">
      <c r="A165">
        <f>IF(OR($BA1="Any",$BA1=""),1,IF('All Data'!$B165=$BA1,1,0))</f>
        <v>0</v>
      </c>
      <c r="B165">
        <f>IF(OR($BA2="Any",$BA2=""),1,IF('All Data'!$C165=$BA2,1,0))</f>
        <v>1</v>
      </c>
      <c r="C165">
        <f>IF(OR($BA3="Any",$BA3=""),1,IF('All Data'!$D165=$BA3,1,0))</f>
        <v>1</v>
      </c>
      <c r="D165">
        <f>IF(OR($BA4="Any",$BA4=""),1,IF('All Data'!$E165=$BA4,1,0))</f>
        <v>1</v>
      </c>
      <c r="E165">
        <f>IF(OR($BA5="Any",$BA5=""),1,IF('All Data'!$F165=$BA5,1,0))</f>
        <v>1</v>
      </c>
      <c r="F165">
        <f>IF(OR($BA6="Any",$BA6=""),1,IF('All Data'!$G165=$BA6,1,0))</f>
        <v>1</v>
      </c>
      <c r="G165">
        <f>IF(AND(OR($BA$8="",ISNUMBER(SEARCH($BA$8,'All Data'!$K165&amp;" "&amp;'All Data'!$M165))),OR($BA$9="",ISNUMBER(SEARCH($BA$9,'All Data'!$K165&amp;" "&amp;'All Data'!$M165))),OR($BA$10="",ISNUMBER(SEARCH($BA$10,'All Data'!$K165&amp;" "&amp;'All Data'!$M165))),OR($BA$11="",ISNUMBER(SEARCH($BA$11,'All Data'!$K165&amp;" "&amp;'All Data'!$M165))),OR($BA$12="",ISNUMBER(SEARCH($BA$12,'All Data'!$K165&amp;" "&amp;'All Data'!$M165))),OR($BA$13="",ISNUMBER(SEARCH($BA$13,'All Data'!$K165&amp;" "&amp;'All Data'!$M165))),OR($BA$14="",ISNUMBER(SEARCH($BA$14,'All Data'!$K165&amp;" "&amp;'All Data'!$M165))),OR($BA$15="",ISNUMBER(SEARCH($BA$15,'All Data'!$K165&amp;" "&amp;'All Data'!$M165)))),1,0)</f>
        <v>1</v>
      </c>
      <c r="H165">
        <f t="shared" si="12"/>
        <v>0</v>
      </c>
      <c r="I165">
        <f>IF(AND($H165=1,'All Data'!$C165&lt;&gt;"",COUNTIFS($H$2:H164,1,'All Data'!$C$2:$C164,'All Data'!$C165)=0),1,0)</f>
        <v>0</v>
      </c>
      <c r="J165" t="str">
        <f>IF($I165=1,SUM($I$2:I165),"")</f>
        <v/>
      </c>
      <c r="K165">
        <f t="shared" si="13"/>
        <v>0</v>
      </c>
      <c r="L165">
        <f>IF(AND($K165=1,'All Data'!$D165&lt;&gt;"",COUNTIFS($K$2:K164,1,'All Data'!$D$2:$D164,'All Data'!$D165)=0),1,0)</f>
        <v>0</v>
      </c>
      <c r="M165" t="str">
        <f>IF($L165=1,SUM($L$2:L165),"")</f>
        <v/>
      </c>
      <c r="N165">
        <f t="shared" si="14"/>
        <v>0</v>
      </c>
      <c r="O165">
        <f>IF(AND($N165=1,'All Data'!$E165&lt;&gt;"",COUNTIFS($N$2:N164,1,'All Data'!$E$2:$E164,'All Data'!$E165)=0),1,0)</f>
        <v>0</v>
      </c>
      <c r="P165" t="str">
        <f>IF($O165=1,SUM($O$2:O165),"")</f>
        <v/>
      </c>
      <c r="Q165">
        <f t="shared" si="15"/>
        <v>0</v>
      </c>
      <c r="R165">
        <f>IF(AND($Q165=1,'All Data'!$F165&lt;&gt;"",COUNTIFS($Q$2:Q164,1,'All Data'!$F$2:$F164,'All Data'!$F165)=0),1,0)</f>
        <v>0</v>
      </c>
      <c r="S165" t="str">
        <f>IF($R165=1,SUM($R$2:R165),"")</f>
        <v/>
      </c>
      <c r="T165">
        <f t="shared" si="16"/>
        <v>0</v>
      </c>
      <c r="U165">
        <f>IF(AND($T165=1,'All Data'!$G165&lt;&gt;"",COUNTIFS($T$2:T164,1,'All Data'!$G$2:$G164,'All Data'!$G165)=0),1,0)</f>
        <v>0</v>
      </c>
      <c r="V165" t="str">
        <f>IF($U165=1,SUM($U$2:U165),"")</f>
        <v/>
      </c>
      <c r="W165">
        <f t="shared" si="17"/>
        <v>0</v>
      </c>
      <c r="X165" t="str">
        <f>IF($W165=1,SUM($W$2:W165),"")</f>
        <v/>
      </c>
    </row>
    <row r="166" spans="1:24" x14ac:dyDescent="0.3">
      <c r="A166">
        <f>IF(OR($BA1="Any",$BA1=""),1,IF('All Data'!$B166=$BA1,1,0))</f>
        <v>0</v>
      </c>
      <c r="B166">
        <f>IF(OR($BA2="Any",$BA2=""),1,IF('All Data'!$C166=$BA2,1,0))</f>
        <v>1</v>
      </c>
      <c r="C166">
        <f>IF(OR($BA3="Any",$BA3=""),1,IF('All Data'!$D166=$BA3,1,0))</f>
        <v>1</v>
      </c>
      <c r="D166">
        <f>IF(OR($BA4="Any",$BA4=""),1,IF('All Data'!$E166=$BA4,1,0))</f>
        <v>1</v>
      </c>
      <c r="E166">
        <f>IF(OR($BA5="Any",$BA5=""),1,IF('All Data'!$F166=$BA5,1,0))</f>
        <v>1</v>
      </c>
      <c r="F166">
        <f>IF(OR($BA6="Any",$BA6=""),1,IF('All Data'!$G166=$BA6,1,0))</f>
        <v>1</v>
      </c>
      <c r="G166">
        <f>IF(AND(OR($BA$8="",ISNUMBER(SEARCH($BA$8,'All Data'!$K166&amp;" "&amp;'All Data'!$M166))),OR($BA$9="",ISNUMBER(SEARCH($BA$9,'All Data'!$K166&amp;" "&amp;'All Data'!$M166))),OR($BA$10="",ISNUMBER(SEARCH($BA$10,'All Data'!$K166&amp;" "&amp;'All Data'!$M166))),OR($BA$11="",ISNUMBER(SEARCH($BA$11,'All Data'!$K166&amp;" "&amp;'All Data'!$M166))),OR($BA$12="",ISNUMBER(SEARCH($BA$12,'All Data'!$K166&amp;" "&amp;'All Data'!$M166))),OR($BA$13="",ISNUMBER(SEARCH($BA$13,'All Data'!$K166&amp;" "&amp;'All Data'!$M166))),OR($BA$14="",ISNUMBER(SEARCH($BA$14,'All Data'!$K166&amp;" "&amp;'All Data'!$M166))),OR($BA$15="",ISNUMBER(SEARCH($BA$15,'All Data'!$K166&amp;" "&amp;'All Data'!$M166)))),1,0)</f>
        <v>1</v>
      </c>
      <c r="H166">
        <f t="shared" si="12"/>
        <v>0</v>
      </c>
      <c r="I166">
        <f>IF(AND($H166=1,'All Data'!$C166&lt;&gt;"",COUNTIFS($H$2:H165,1,'All Data'!$C$2:$C165,'All Data'!$C166)=0),1,0)</f>
        <v>0</v>
      </c>
      <c r="J166" t="str">
        <f>IF($I166=1,SUM($I$2:I166),"")</f>
        <v/>
      </c>
      <c r="K166">
        <f t="shared" si="13"/>
        <v>0</v>
      </c>
      <c r="L166">
        <f>IF(AND($K166=1,'All Data'!$D166&lt;&gt;"",COUNTIFS($K$2:K165,1,'All Data'!$D$2:$D165,'All Data'!$D166)=0),1,0)</f>
        <v>0</v>
      </c>
      <c r="M166" t="str">
        <f>IF($L166=1,SUM($L$2:L166),"")</f>
        <v/>
      </c>
      <c r="N166">
        <f t="shared" si="14"/>
        <v>0</v>
      </c>
      <c r="O166">
        <f>IF(AND($N166=1,'All Data'!$E166&lt;&gt;"",COUNTIFS($N$2:N165,1,'All Data'!$E$2:$E165,'All Data'!$E166)=0),1,0)</f>
        <v>0</v>
      </c>
      <c r="P166" t="str">
        <f>IF($O166=1,SUM($O$2:O166),"")</f>
        <v/>
      </c>
      <c r="Q166">
        <f t="shared" si="15"/>
        <v>0</v>
      </c>
      <c r="R166">
        <f>IF(AND($Q166=1,'All Data'!$F166&lt;&gt;"",COUNTIFS($Q$2:Q165,1,'All Data'!$F$2:$F165,'All Data'!$F166)=0),1,0)</f>
        <v>0</v>
      </c>
      <c r="S166" t="str">
        <f>IF($R166=1,SUM($R$2:R166),"")</f>
        <v/>
      </c>
      <c r="T166">
        <f t="shared" si="16"/>
        <v>0</v>
      </c>
      <c r="U166">
        <f>IF(AND($T166=1,'All Data'!$G166&lt;&gt;"",COUNTIFS($T$2:T165,1,'All Data'!$G$2:$G165,'All Data'!$G166)=0),1,0)</f>
        <v>0</v>
      </c>
      <c r="V166" t="str">
        <f>IF($U166=1,SUM($U$2:U166),"")</f>
        <v/>
      </c>
      <c r="W166">
        <f t="shared" si="17"/>
        <v>0</v>
      </c>
      <c r="X166" t="str">
        <f>IF($W166=1,SUM($W$2:W166),"")</f>
        <v/>
      </c>
    </row>
    <row r="167" spans="1:24" x14ac:dyDescent="0.3">
      <c r="A167">
        <f>IF(OR($BA1="Any",$BA1=""),1,IF('All Data'!$B167=$BA1,1,0))</f>
        <v>0</v>
      </c>
      <c r="B167">
        <f>IF(OR($BA2="Any",$BA2=""),1,IF('All Data'!$C167=$BA2,1,0))</f>
        <v>1</v>
      </c>
      <c r="C167">
        <f>IF(OR($BA3="Any",$BA3=""),1,IF('All Data'!$D167=$BA3,1,0))</f>
        <v>1</v>
      </c>
      <c r="D167">
        <f>IF(OR($BA4="Any",$BA4=""),1,IF('All Data'!$E167=$BA4,1,0))</f>
        <v>1</v>
      </c>
      <c r="E167">
        <f>IF(OR($BA5="Any",$BA5=""),1,IF('All Data'!$F167=$BA5,1,0))</f>
        <v>1</v>
      </c>
      <c r="F167">
        <f>IF(OR($BA6="Any",$BA6=""),1,IF('All Data'!$G167=$BA6,1,0))</f>
        <v>0</v>
      </c>
      <c r="G167">
        <f>IF(AND(OR($BA$8="",ISNUMBER(SEARCH($BA$8,'All Data'!$K167&amp;" "&amp;'All Data'!$M167))),OR($BA$9="",ISNUMBER(SEARCH($BA$9,'All Data'!$K167&amp;" "&amp;'All Data'!$M167))),OR($BA$10="",ISNUMBER(SEARCH($BA$10,'All Data'!$K167&amp;" "&amp;'All Data'!$M167))),OR($BA$11="",ISNUMBER(SEARCH($BA$11,'All Data'!$K167&amp;" "&amp;'All Data'!$M167))),OR($BA$12="",ISNUMBER(SEARCH($BA$12,'All Data'!$K167&amp;" "&amp;'All Data'!$M167))),OR($BA$13="",ISNUMBER(SEARCH($BA$13,'All Data'!$K167&amp;" "&amp;'All Data'!$M167))),OR($BA$14="",ISNUMBER(SEARCH($BA$14,'All Data'!$K167&amp;" "&amp;'All Data'!$M167))),OR($BA$15="",ISNUMBER(SEARCH($BA$15,'All Data'!$K167&amp;" "&amp;'All Data'!$M167)))),1,0)</f>
        <v>1</v>
      </c>
      <c r="H167">
        <f t="shared" si="12"/>
        <v>0</v>
      </c>
      <c r="I167">
        <f>IF(AND($H167=1,'All Data'!$C167&lt;&gt;"",COUNTIFS($H$2:H166,1,'All Data'!$C$2:$C166,'All Data'!$C167)=0),1,0)</f>
        <v>0</v>
      </c>
      <c r="J167" t="str">
        <f>IF($I167=1,SUM($I$2:I167),"")</f>
        <v/>
      </c>
      <c r="K167">
        <f t="shared" si="13"/>
        <v>0</v>
      </c>
      <c r="L167">
        <f>IF(AND($K167=1,'All Data'!$D167&lt;&gt;"",COUNTIFS($K$2:K166,1,'All Data'!$D$2:$D166,'All Data'!$D167)=0),1,0)</f>
        <v>0</v>
      </c>
      <c r="M167" t="str">
        <f>IF($L167=1,SUM($L$2:L167),"")</f>
        <v/>
      </c>
      <c r="N167">
        <f t="shared" si="14"/>
        <v>0</v>
      </c>
      <c r="O167">
        <f>IF(AND($N167=1,'All Data'!$E167&lt;&gt;"",COUNTIFS($N$2:N166,1,'All Data'!$E$2:$E166,'All Data'!$E167)=0),1,0)</f>
        <v>0</v>
      </c>
      <c r="P167" t="str">
        <f>IF($O167=1,SUM($O$2:O167),"")</f>
        <v/>
      </c>
      <c r="Q167">
        <f t="shared" si="15"/>
        <v>0</v>
      </c>
      <c r="R167">
        <f>IF(AND($Q167=1,'All Data'!$F167&lt;&gt;"",COUNTIFS($Q$2:Q166,1,'All Data'!$F$2:$F166,'All Data'!$F167)=0),1,0)</f>
        <v>0</v>
      </c>
      <c r="S167" t="str">
        <f>IF($R167=1,SUM($R$2:R167),"")</f>
        <v/>
      </c>
      <c r="T167">
        <f t="shared" si="16"/>
        <v>0</v>
      </c>
      <c r="U167">
        <f>IF(AND($T167=1,'All Data'!$G167&lt;&gt;"",COUNTIFS($T$2:T166,1,'All Data'!$G$2:$G166,'All Data'!$G167)=0),1,0)</f>
        <v>0</v>
      </c>
      <c r="V167" t="str">
        <f>IF($U167=1,SUM($U$2:U167),"")</f>
        <v/>
      </c>
      <c r="W167">
        <f t="shared" si="17"/>
        <v>0</v>
      </c>
      <c r="X167" t="str">
        <f>IF($W167=1,SUM($W$2:W167),"")</f>
        <v/>
      </c>
    </row>
    <row r="168" spans="1:24" x14ac:dyDescent="0.3">
      <c r="A168">
        <f>IF(OR($BA1="Any",$BA1=""),1,IF('All Data'!$B168=$BA1,1,0))</f>
        <v>0</v>
      </c>
      <c r="B168">
        <f>IF(OR($BA2="Any",$BA2=""),1,IF('All Data'!$C168=$BA2,1,0))</f>
        <v>1</v>
      </c>
      <c r="C168">
        <f>IF(OR($BA3="Any",$BA3=""),1,IF('All Data'!$D168=$BA3,1,0))</f>
        <v>1</v>
      </c>
      <c r="D168">
        <f>IF(OR($BA4="Any",$BA4=""),1,IF('All Data'!$E168=$BA4,1,0))</f>
        <v>1</v>
      </c>
      <c r="E168">
        <f>IF(OR($BA5="Any",$BA5=""),1,IF('All Data'!$F168=$BA5,1,0))</f>
        <v>1</v>
      </c>
      <c r="F168">
        <f>IF(OR($BA6="Any",$BA6=""),1,IF('All Data'!$G168=$BA6,1,0))</f>
        <v>0</v>
      </c>
      <c r="G168">
        <f>IF(AND(OR($BA$8="",ISNUMBER(SEARCH($BA$8,'All Data'!$K168&amp;" "&amp;'All Data'!$M168))),OR($BA$9="",ISNUMBER(SEARCH($BA$9,'All Data'!$K168&amp;" "&amp;'All Data'!$M168))),OR($BA$10="",ISNUMBER(SEARCH($BA$10,'All Data'!$K168&amp;" "&amp;'All Data'!$M168))),OR($BA$11="",ISNUMBER(SEARCH($BA$11,'All Data'!$K168&amp;" "&amp;'All Data'!$M168))),OR($BA$12="",ISNUMBER(SEARCH($BA$12,'All Data'!$K168&amp;" "&amp;'All Data'!$M168))),OR($BA$13="",ISNUMBER(SEARCH($BA$13,'All Data'!$K168&amp;" "&amp;'All Data'!$M168))),OR($BA$14="",ISNUMBER(SEARCH($BA$14,'All Data'!$K168&amp;" "&amp;'All Data'!$M168))),OR($BA$15="",ISNUMBER(SEARCH($BA$15,'All Data'!$K168&amp;" "&amp;'All Data'!$M168)))),1,0)</f>
        <v>1</v>
      </c>
      <c r="H168">
        <f t="shared" si="12"/>
        <v>0</v>
      </c>
      <c r="I168">
        <f>IF(AND($H168=1,'All Data'!$C168&lt;&gt;"",COUNTIFS($H$2:H167,1,'All Data'!$C$2:$C167,'All Data'!$C168)=0),1,0)</f>
        <v>0</v>
      </c>
      <c r="J168" t="str">
        <f>IF($I168=1,SUM($I$2:I168),"")</f>
        <v/>
      </c>
      <c r="K168">
        <f t="shared" si="13"/>
        <v>0</v>
      </c>
      <c r="L168">
        <f>IF(AND($K168=1,'All Data'!$D168&lt;&gt;"",COUNTIFS($K$2:K167,1,'All Data'!$D$2:$D167,'All Data'!$D168)=0),1,0)</f>
        <v>0</v>
      </c>
      <c r="M168" t="str">
        <f>IF($L168=1,SUM($L$2:L168),"")</f>
        <v/>
      </c>
      <c r="N168">
        <f t="shared" si="14"/>
        <v>0</v>
      </c>
      <c r="O168">
        <f>IF(AND($N168=1,'All Data'!$E168&lt;&gt;"",COUNTIFS($N$2:N167,1,'All Data'!$E$2:$E167,'All Data'!$E168)=0),1,0)</f>
        <v>0</v>
      </c>
      <c r="P168" t="str">
        <f>IF($O168=1,SUM($O$2:O168),"")</f>
        <v/>
      </c>
      <c r="Q168">
        <f t="shared" si="15"/>
        <v>0</v>
      </c>
      <c r="R168">
        <f>IF(AND($Q168=1,'All Data'!$F168&lt;&gt;"",COUNTIFS($Q$2:Q167,1,'All Data'!$F$2:$F167,'All Data'!$F168)=0),1,0)</f>
        <v>0</v>
      </c>
      <c r="S168" t="str">
        <f>IF($R168=1,SUM($R$2:R168),"")</f>
        <v/>
      </c>
      <c r="T168">
        <f t="shared" si="16"/>
        <v>0</v>
      </c>
      <c r="U168">
        <f>IF(AND($T168=1,'All Data'!$G168&lt;&gt;"",COUNTIFS($T$2:T167,1,'All Data'!$G$2:$G167,'All Data'!$G168)=0),1,0)</f>
        <v>0</v>
      </c>
      <c r="V168" t="str">
        <f>IF($U168=1,SUM($U$2:U168),"")</f>
        <v/>
      </c>
      <c r="W168">
        <f t="shared" si="17"/>
        <v>0</v>
      </c>
      <c r="X168" t="str">
        <f>IF($W168=1,SUM($W$2:W168),"")</f>
        <v/>
      </c>
    </row>
    <row r="169" spans="1:24" x14ac:dyDescent="0.3">
      <c r="A169">
        <f>IF(OR($BA1="Any",$BA1=""),1,IF('All Data'!$B169=$BA1,1,0))</f>
        <v>0</v>
      </c>
      <c r="B169">
        <f>IF(OR($BA2="Any",$BA2=""),1,IF('All Data'!$C169=$BA2,1,0))</f>
        <v>1</v>
      </c>
      <c r="C169">
        <f>IF(OR($BA3="Any",$BA3=""),1,IF('All Data'!$D169=$BA3,1,0))</f>
        <v>1</v>
      </c>
      <c r="D169">
        <f>IF(OR($BA4="Any",$BA4=""),1,IF('All Data'!$E169=$BA4,1,0))</f>
        <v>1</v>
      </c>
      <c r="E169">
        <f>IF(OR($BA5="Any",$BA5=""),1,IF('All Data'!$F169=$BA5,1,0))</f>
        <v>1</v>
      </c>
      <c r="F169">
        <f>IF(OR($BA6="Any",$BA6=""),1,IF('All Data'!$G169=$BA6,1,0))</f>
        <v>0</v>
      </c>
      <c r="G169">
        <f>IF(AND(OR($BA$8="",ISNUMBER(SEARCH($BA$8,'All Data'!$K169&amp;" "&amp;'All Data'!$M169))),OR($BA$9="",ISNUMBER(SEARCH($BA$9,'All Data'!$K169&amp;" "&amp;'All Data'!$M169))),OR($BA$10="",ISNUMBER(SEARCH($BA$10,'All Data'!$K169&amp;" "&amp;'All Data'!$M169))),OR($BA$11="",ISNUMBER(SEARCH($BA$11,'All Data'!$K169&amp;" "&amp;'All Data'!$M169))),OR($BA$12="",ISNUMBER(SEARCH($BA$12,'All Data'!$K169&amp;" "&amp;'All Data'!$M169))),OR($BA$13="",ISNUMBER(SEARCH($BA$13,'All Data'!$K169&amp;" "&amp;'All Data'!$M169))),OR($BA$14="",ISNUMBER(SEARCH($BA$14,'All Data'!$K169&amp;" "&amp;'All Data'!$M169))),OR($BA$15="",ISNUMBER(SEARCH($BA$15,'All Data'!$K169&amp;" "&amp;'All Data'!$M169)))),1,0)</f>
        <v>1</v>
      </c>
      <c r="H169">
        <f t="shared" si="12"/>
        <v>0</v>
      </c>
      <c r="I169">
        <f>IF(AND($H169=1,'All Data'!$C169&lt;&gt;"",COUNTIFS($H$2:H168,1,'All Data'!$C$2:$C168,'All Data'!$C169)=0),1,0)</f>
        <v>0</v>
      </c>
      <c r="J169" t="str">
        <f>IF($I169=1,SUM($I$2:I169),"")</f>
        <v/>
      </c>
      <c r="K169">
        <f t="shared" si="13"/>
        <v>0</v>
      </c>
      <c r="L169">
        <f>IF(AND($K169=1,'All Data'!$D169&lt;&gt;"",COUNTIFS($K$2:K168,1,'All Data'!$D$2:$D168,'All Data'!$D169)=0),1,0)</f>
        <v>0</v>
      </c>
      <c r="M169" t="str">
        <f>IF($L169=1,SUM($L$2:L169),"")</f>
        <v/>
      </c>
      <c r="N169">
        <f t="shared" si="14"/>
        <v>0</v>
      </c>
      <c r="O169">
        <f>IF(AND($N169=1,'All Data'!$E169&lt;&gt;"",COUNTIFS($N$2:N168,1,'All Data'!$E$2:$E168,'All Data'!$E169)=0),1,0)</f>
        <v>0</v>
      </c>
      <c r="P169" t="str">
        <f>IF($O169=1,SUM($O$2:O169),"")</f>
        <v/>
      </c>
      <c r="Q169">
        <f t="shared" si="15"/>
        <v>0</v>
      </c>
      <c r="R169">
        <f>IF(AND($Q169=1,'All Data'!$F169&lt;&gt;"",COUNTIFS($Q$2:Q168,1,'All Data'!$F$2:$F168,'All Data'!$F169)=0),1,0)</f>
        <v>0</v>
      </c>
      <c r="S169" t="str">
        <f>IF($R169=1,SUM($R$2:R169),"")</f>
        <v/>
      </c>
      <c r="T169">
        <f t="shared" si="16"/>
        <v>0</v>
      </c>
      <c r="U169">
        <f>IF(AND($T169=1,'All Data'!$G169&lt;&gt;"",COUNTIFS($T$2:T168,1,'All Data'!$G$2:$G168,'All Data'!$G169)=0),1,0)</f>
        <v>0</v>
      </c>
      <c r="V169" t="str">
        <f>IF($U169=1,SUM($U$2:U169),"")</f>
        <v/>
      </c>
      <c r="W169">
        <f t="shared" si="17"/>
        <v>0</v>
      </c>
      <c r="X169" t="str">
        <f>IF($W169=1,SUM($W$2:W169),"")</f>
        <v/>
      </c>
    </row>
    <row r="170" spans="1:24" x14ac:dyDescent="0.3">
      <c r="A170">
        <f>IF(OR($BA1="Any",$BA1=""),1,IF('All Data'!$B170=$BA1,1,0))</f>
        <v>0</v>
      </c>
      <c r="B170">
        <f>IF(OR($BA2="Any",$BA2=""),1,IF('All Data'!$C170=$BA2,1,0))</f>
        <v>1</v>
      </c>
      <c r="C170">
        <f>IF(OR($BA3="Any",$BA3=""),1,IF('All Data'!$D170=$BA3,1,0))</f>
        <v>1</v>
      </c>
      <c r="D170">
        <f>IF(OR($BA4="Any",$BA4=""),1,IF('All Data'!$E170=$BA4,1,0))</f>
        <v>1</v>
      </c>
      <c r="E170">
        <f>IF(OR($BA5="Any",$BA5=""),1,IF('All Data'!$F170=$BA5,1,0))</f>
        <v>1</v>
      </c>
      <c r="F170">
        <f>IF(OR($BA6="Any",$BA6=""),1,IF('All Data'!$G170=$BA6,1,0))</f>
        <v>0</v>
      </c>
      <c r="G170">
        <f>IF(AND(OR($BA$8="",ISNUMBER(SEARCH($BA$8,'All Data'!$K170&amp;" "&amp;'All Data'!$M170))),OR($BA$9="",ISNUMBER(SEARCH($BA$9,'All Data'!$K170&amp;" "&amp;'All Data'!$M170))),OR($BA$10="",ISNUMBER(SEARCH($BA$10,'All Data'!$K170&amp;" "&amp;'All Data'!$M170))),OR($BA$11="",ISNUMBER(SEARCH($BA$11,'All Data'!$K170&amp;" "&amp;'All Data'!$M170))),OR($BA$12="",ISNUMBER(SEARCH($BA$12,'All Data'!$K170&amp;" "&amp;'All Data'!$M170))),OR($BA$13="",ISNUMBER(SEARCH($BA$13,'All Data'!$K170&amp;" "&amp;'All Data'!$M170))),OR($BA$14="",ISNUMBER(SEARCH($BA$14,'All Data'!$K170&amp;" "&amp;'All Data'!$M170))),OR($BA$15="",ISNUMBER(SEARCH($BA$15,'All Data'!$K170&amp;" "&amp;'All Data'!$M170)))),1,0)</f>
        <v>1</v>
      </c>
      <c r="H170">
        <f t="shared" si="12"/>
        <v>0</v>
      </c>
      <c r="I170">
        <f>IF(AND($H170=1,'All Data'!$C170&lt;&gt;"",COUNTIFS($H$2:H169,1,'All Data'!$C$2:$C169,'All Data'!$C170)=0),1,0)</f>
        <v>0</v>
      </c>
      <c r="J170" t="str">
        <f>IF($I170=1,SUM($I$2:I170),"")</f>
        <v/>
      </c>
      <c r="K170">
        <f t="shared" si="13"/>
        <v>0</v>
      </c>
      <c r="L170">
        <f>IF(AND($K170=1,'All Data'!$D170&lt;&gt;"",COUNTIFS($K$2:K169,1,'All Data'!$D$2:$D169,'All Data'!$D170)=0),1,0)</f>
        <v>0</v>
      </c>
      <c r="M170" t="str">
        <f>IF($L170=1,SUM($L$2:L170),"")</f>
        <v/>
      </c>
      <c r="N170">
        <f t="shared" si="14"/>
        <v>0</v>
      </c>
      <c r="O170">
        <f>IF(AND($N170=1,'All Data'!$E170&lt;&gt;"",COUNTIFS($N$2:N169,1,'All Data'!$E$2:$E169,'All Data'!$E170)=0),1,0)</f>
        <v>0</v>
      </c>
      <c r="P170" t="str">
        <f>IF($O170=1,SUM($O$2:O170),"")</f>
        <v/>
      </c>
      <c r="Q170">
        <f t="shared" si="15"/>
        <v>0</v>
      </c>
      <c r="R170">
        <f>IF(AND($Q170=1,'All Data'!$F170&lt;&gt;"",COUNTIFS($Q$2:Q169,1,'All Data'!$F$2:$F169,'All Data'!$F170)=0),1,0)</f>
        <v>0</v>
      </c>
      <c r="S170" t="str">
        <f>IF($R170=1,SUM($R$2:R170),"")</f>
        <v/>
      </c>
      <c r="T170">
        <f t="shared" si="16"/>
        <v>0</v>
      </c>
      <c r="U170">
        <f>IF(AND($T170=1,'All Data'!$G170&lt;&gt;"",COUNTIFS($T$2:T169,1,'All Data'!$G$2:$G169,'All Data'!$G170)=0),1,0)</f>
        <v>0</v>
      </c>
      <c r="V170" t="str">
        <f>IF($U170=1,SUM($U$2:U170),"")</f>
        <v/>
      </c>
      <c r="W170">
        <f t="shared" si="17"/>
        <v>0</v>
      </c>
      <c r="X170" t="str">
        <f>IF($W170=1,SUM($W$2:W170),"")</f>
        <v/>
      </c>
    </row>
    <row r="171" spans="1:24" x14ac:dyDescent="0.3">
      <c r="A171">
        <f>IF(OR($BA1="Any",$BA1=""),1,IF('All Data'!$B171=$BA1,1,0))</f>
        <v>0</v>
      </c>
      <c r="B171">
        <f>IF(OR($BA2="Any",$BA2=""),1,IF('All Data'!$C171=$BA2,1,0))</f>
        <v>1</v>
      </c>
      <c r="C171">
        <f>IF(OR($BA3="Any",$BA3=""),1,IF('All Data'!$D171=$BA3,1,0))</f>
        <v>1</v>
      </c>
      <c r="D171">
        <f>IF(OR($BA4="Any",$BA4=""),1,IF('All Data'!$E171=$BA4,1,0))</f>
        <v>1</v>
      </c>
      <c r="E171">
        <f>IF(OR($BA5="Any",$BA5=""),1,IF('All Data'!$F171=$BA5,1,0))</f>
        <v>1</v>
      </c>
      <c r="F171">
        <f>IF(OR($BA6="Any",$BA6=""),1,IF('All Data'!$G171=$BA6,1,0))</f>
        <v>0</v>
      </c>
      <c r="G171">
        <f>IF(AND(OR($BA$8="",ISNUMBER(SEARCH($BA$8,'All Data'!$K171&amp;" "&amp;'All Data'!$M171))),OR($BA$9="",ISNUMBER(SEARCH($BA$9,'All Data'!$K171&amp;" "&amp;'All Data'!$M171))),OR($BA$10="",ISNUMBER(SEARCH($BA$10,'All Data'!$K171&amp;" "&amp;'All Data'!$M171))),OR($BA$11="",ISNUMBER(SEARCH($BA$11,'All Data'!$K171&amp;" "&amp;'All Data'!$M171))),OR($BA$12="",ISNUMBER(SEARCH($BA$12,'All Data'!$K171&amp;" "&amp;'All Data'!$M171))),OR($BA$13="",ISNUMBER(SEARCH($BA$13,'All Data'!$K171&amp;" "&amp;'All Data'!$M171))),OR($BA$14="",ISNUMBER(SEARCH($BA$14,'All Data'!$K171&amp;" "&amp;'All Data'!$M171))),OR($BA$15="",ISNUMBER(SEARCH($BA$15,'All Data'!$K171&amp;" "&amp;'All Data'!$M171)))),1,0)</f>
        <v>1</v>
      </c>
      <c r="H171">
        <f t="shared" si="12"/>
        <v>0</v>
      </c>
      <c r="I171">
        <f>IF(AND($H171=1,'All Data'!$C171&lt;&gt;"",COUNTIFS($H$2:H170,1,'All Data'!$C$2:$C170,'All Data'!$C171)=0),1,0)</f>
        <v>0</v>
      </c>
      <c r="J171" t="str">
        <f>IF($I171=1,SUM($I$2:I171),"")</f>
        <v/>
      </c>
      <c r="K171">
        <f t="shared" si="13"/>
        <v>0</v>
      </c>
      <c r="L171">
        <f>IF(AND($K171=1,'All Data'!$D171&lt;&gt;"",COUNTIFS($K$2:K170,1,'All Data'!$D$2:$D170,'All Data'!$D171)=0),1,0)</f>
        <v>0</v>
      </c>
      <c r="M171" t="str">
        <f>IF($L171=1,SUM($L$2:L171),"")</f>
        <v/>
      </c>
      <c r="N171">
        <f t="shared" si="14"/>
        <v>0</v>
      </c>
      <c r="O171">
        <f>IF(AND($N171=1,'All Data'!$E171&lt;&gt;"",COUNTIFS($N$2:N170,1,'All Data'!$E$2:$E170,'All Data'!$E171)=0),1,0)</f>
        <v>0</v>
      </c>
      <c r="P171" t="str">
        <f>IF($O171=1,SUM($O$2:O171),"")</f>
        <v/>
      </c>
      <c r="Q171">
        <f t="shared" si="15"/>
        <v>0</v>
      </c>
      <c r="R171">
        <f>IF(AND($Q171=1,'All Data'!$F171&lt;&gt;"",COUNTIFS($Q$2:Q170,1,'All Data'!$F$2:$F170,'All Data'!$F171)=0),1,0)</f>
        <v>0</v>
      </c>
      <c r="S171" t="str">
        <f>IF($R171=1,SUM($R$2:R171),"")</f>
        <v/>
      </c>
      <c r="T171">
        <f t="shared" si="16"/>
        <v>0</v>
      </c>
      <c r="U171">
        <f>IF(AND($T171=1,'All Data'!$G171&lt;&gt;"",COUNTIFS($T$2:T170,1,'All Data'!$G$2:$G170,'All Data'!$G171)=0),1,0)</f>
        <v>0</v>
      </c>
      <c r="V171" t="str">
        <f>IF($U171=1,SUM($U$2:U171),"")</f>
        <v/>
      </c>
      <c r="W171">
        <f t="shared" si="17"/>
        <v>0</v>
      </c>
      <c r="X171" t="str">
        <f>IF($W171=1,SUM($W$2:W171),"")</f>
        <v/>
      </c>
    </row>
    <row r="172" spans="1:24" x14ac:dyDescent="0.3">
      <c r="A172">
        <f>IF(OR($BA1="Any",$BA1=""),1,IF('All Data'!$B172=$BA1,1,0))</f>
        <v>0</v>
      </c>
      <c r="B172">
        <f>IF(OR($BA2="Any",$BA2=""),1,IF('All Data'!$C172=$BA2,1,0))</f>
        <v>1</v>
      </c>
      <c r="C172">
        <f>IF(OR($BA3="Any",$BA3=""),1,IF('All Data'!$D172=$BA3,1,0))</f>
        <v>1</v>
      </c>
      <c r="D172">
        <f>IF(OR($BA4="Any",$BA4=""),1,IF('All Data'!$E172=$BA4,1,0))</f>
        <v>1</v>
      </c>
      <c r="E172">
        <f>IF(OR($BA5="Any",$BA5=""),1,IF('All Data'!$F172=$BA5,1,0))</f>
        <v>1</v>
      </c>
      <c r="F172">
        <f>IF(OR($BA6="Any",$BA6=""),1,IF('All Data'!$G172=$BA6,1,0))</f>
        <v>0</v>
      </c>
      <c r="G172">
        <f>IF(AND(OR($BA$8="",ISNUMBER(SEARCH($BA$8,'All Data'!$K172&amp;" "&amp;'All Data'!$M172))),OR($BA$9="",ISNUMBER(SEARCH($BA$9,'All Data'!$K172&amp;" "&amp;'All Data'!$M172))),OR($BA$10="",ISNUMBER(SEARCH($BA$10,'All Data'!$K172&amp;" "&amp;'All Data'!$M172))),OR($BA$11="",ISNUMBER(SEARCH($BA$11,'All Data'!$K172&amp;" "&amp;'All Data'!$M172))),OR($BA$12="",ISNUMBER(SEARCH($BA$12,'All Data'!$K172&amp;" "&amp;'All Data'!$M172))),OR($BA$13="",ISNUMBER(SEARCH($BA$13,'All Data'!$K172&amp;" "&amp;'All Data'!$M172))),OR($BA$14="",ISNUMBER(SEARCH($BA$14,'All Data'!$K172&amp;" "&amp;'All Data'!$M172))),OR($BA$15="",ISNUMBER(SEARCH($BA$15,'All Data'!$K172&amp;" "&amp;'All Data'!$M172)))),1,0)</f>
        <v>1</v>
      </c>
      <c r="H172">
        <f t="shared" si="12"/>
        <v>0</v>
      </c>
      <c r="I172">
        <f>IF(AND($H172=1,'All Data'!$C172&lt;&gt;"",COUNTIFS($H$2:H171,1,'All Data'!$C$2:$C171,'All Data'!$C172)=0),1,0)</f>
        <v>0</v>
      </c>
      <c r="J172" t="str">
        <f>IF($I172=1,SUM($I$2:I172),"")</f>
        <v/>
      </c>
      <c r="K172">
        <f t="shared" si="13"/>
        <v>0</v>
      </c>
      <c r="L172">
        <f>IF(AND($K172=1,'All Data'!$D172&lt;&gt;"",COUNTIFS($K$2:K171,1,'All Data'!$D$2:$D171,'All Data'!$D172)=0),1,0)</f>
        <v>0</v>
      </c>
      <c r="M172" t="str">
        <f>IF($L172=1,SUM($L$2:L172),"")</f>
        <v/>
      </c>
      <c r="N172">
        <f t="shared" si="14"/>
        <v>0</v>
      </c>
      <c r="O172">
        <f>IF(AND($N172=1,'All Data'!$E172&lt;&gt;"",COUNTIFS($N$2:N171,1,'All Data'!$E$2:$E171,'All Data'!$E172)=0),1,0)</f>
        <v>0</v>
      </c>
      <c r="P172" t="str">
        <f>IF($O172=1,SUM($O$2:O172),"")</f>
        <v/>
      </c>
      <c r="Q172">
        <f t="shared" si="15"/>
        <v>0</v>
      </c>
      <c r="R172">
        <f>IF(AND($Q172=1,'All Data'!$F172&lt;&gt;"",COUNTIFS($Q$2:Q171,1,'All Data'!$F$2:$F171,'All Data'!$F172)=0),1,0)</f>
        <v>0</v>
      </c>
      <c r="S172" t="str">
        <f>IF($R172=1,SUM($R$2:R172),"")</f>
        <v/>
      </c>
      <c r="T172">
        <f t="shared" si="16"/>
        <v>0</v>
      </c>
      <c r="U172">
        <f>IF(AND($T172=1,'All Data'!$G172&lt;&gt;"",COUNTIFS($T$2:T171,1,'All Data'!$G$2:$G171,'All Data'!$G172)=0),1,0)</f>
        <v>0</v>
      </c>
      <c r="V172" t="str">
        <f>IF($U172=1,SUM($U$2:U172),"")</f>
        <v/>
      </c>
      <c r="W172">
        <f t="shared" si="17"/>
        <v>0</v>
      </c>
      <c r="X172" t="str">
        <f>IF($W172=1,SUM($W$2:W172),"")</f>
        <v/>
      </c>
    </row>
    <row r="173" spans="1:24" x14ac:dyDescent="0.3">
      <c r="A173">
        <f>IF(OR($BA1="Any",$BA1=""),1,IF('All Data'!$B173=$BA1,1,0))</f>
        <v>0</v>
      </c>
      <c r="B173">
        <f>IF(OR($BA2="Any",$BA2=""),1,IF('All Data'!$C173=$BA2,1,0))</f>
        <v>1</v>
      </c>
      <c r="C173">
        <f>IF(OR($BA3="Any",$BA3=""),1,IF('All Data'!$D173=$BA3,1,0))</f>
        <v>1</v>
      </c>
      <c r="D173">
        <f>IF(OR($BA4="Any",$BA4=""),1,IF('All Data'!$E173=$BA4,1,0))</f>
        <v>1</v>
      </c>
      <c r="E173">
        <f>IF(OR($BA5="Any",$BA5=""),1,IF('All Data'!$F173=$BA5,1,0))</f>
        <v>1</v>
      </c>
      <c r="F173">
        <f>IF(OR($BA6="Any",$BA6=""),1,IF('All Data'!$G173=$BA6,1,0))</f>
        <v>0</v>
      </c>
      <c r="G173">
        <f>IF(AND(OR($BA$8="",ISNUMBER(SEARCH($BA$8,'All Data'!$K173&amp;" "&amp;'All Data'!$M173))),OR($BA$9="",ISNUMBER(SEARCH($BA$9,'All Data'!$K173&amp;" "&amp;'All Data'!$M173))),OR($BA$10="",ISNUMBER(SEARCH($BA$10,'All Data'!$K173&amp;" "&amp;'All Data'!$M173))),OR($BA$11="",ISNUMBER(SEARCH($BA$11,'All Data'!$K173&amp;" "&amp;'All Data'!$M173))),OR($BA$12="",ISNUMBER(SEARCH($BA$12,'All Data'!$K173&amp;" "&amp;'All Data'!$M173))),OR($BA$13="",ISNUMBER(SEARCH($BA$13,'All Data'!$K173&amp;" "&amp;'All Data'!$M173))),OR($BA$14="",ISNUMBER(SEARCH($BA$14,'All Data'!$K173&amp;" "&amp;'All Data'!$M173))),OR($BA$15="",ISNUMBER(SEARCH($BA$15,'All Data'!$K173&amp;" "&amp;'All Data'!$M173)))),1,0)</f>
        <v>1</v>
      </c>
      <c r="H173">
        <f t="shared" si="12"/>
        <v>0</v>
      </c>
      <c r="I173">
        <f>IF(AND($H173=1,'All Data'!$C173&lt;&gt;"",COUNTIFS($H$2:H172,1,'All Data'!$C$2:$C172,'All Data'!$C173)=0),1,0)</f>
        <v>0</v>
      </c>
      <c r="J173" t="str">
        <f>IF($I173=1,SUM($I$2:I173),"")</f>
        <v/>
      </c>
      <c r="K173">
        <f t="shared" si="13"/>
        <v>0</v>
      </c>
      <c r="L173">
        <f>IF(AND($K173=1,'All Data'!$D173&lt;&gt;"",COUNTIFS($K$2:K172,1,'All Data'!$D$2:$D172,'All Data'!$D173)=0),1,0)</f>
        <v>0</v>
      </c>
      <c r="M173" t="str">
        <f>IF($L173=1,SUM($L$2:L173),"")</f>
        <v/>
      </c>
      <c r="N173">
        <f t="shared" si="14"/>
        <v>0</v>
      </c>
      <c r="O173">
        <f>IF(AND($N173=1,'All Data'!$E173&lt;&gt;"",COUNTIFS($N$2:N172,1,'All Data'!$E$2:$E172,'All Data'!$E173)=0),1,0)</f>
        <v>0</v>
      </c>
      <c r="P173" t="str">
        <f>IF($O173=1,SUM($O$2:O173),"")</f>
        <v/>
      </c>
      <c r="Q173">
        <f t="shared" si="15"/>
        <v>0</v>
      </c>
      <c r="R173">
        <f>IF(AND($Q173=1,'All Data'!$F173&lt;&gt;"",COUNTIFS($Q$2:Q172,1,'All Data'!$F$2:$F172,'All Data'!$F173)=0),1,0)</f>
        <v>0</v>
      </c>
      <c r="S173" t="str">
        <f>IF($R173=1,SUM($R$2:R173),"")</f>
        <v/>
      </c>
      <c r="T173">
        <f t="shared" si="16"/>
        <v>0</v>
      </c>
      <c r="U173">
        <f>IF(AND($T173=1,'All Data'!$G173&lt;&gt;"",COUNTIFS($T$2:T172,1,'All Data'!$G$2:$G172,'All Data'!$G173)=0),1,0)</f>
        <v>0</v>
      </c>
      <c r="V173" t="str">
        <f>IF($U173=1,SUM($U$2:U173),"")</f>
        <v/>
      </c>
      <c r="W173">
        <f t="shared" si="17"/>
        <v>0</v>
      </c>
      <c r="X173" t="str">
        <f>IF($W173=1,SUM($W$2:W173),"")</f>
        <v/>
      </c>
    </row>
    <row r="174" spans="1:24" x14ac:dyDescent="0.3">
      <c r="A174">
        <f>IF(OR($BA1="Any",$BA1=""),1,IF('All Data'!$B174=$BA1,1,0))</f>
        <v>0</v>
      </c>
      <c r="B174">
        <f>IF(OR($BA2="Any",$BA2=""),1,IF('All Data'!$C174=$BA2,1,0))</f>
        <v>1</v>
      </c>
      <c r="C174">
        <f>IF(OR($BA3="Any",$BA3=""),1,IF('All Data'!$D174=$BA3,1,0))</f>
        <v>1</v>
      </c>
      <c r="D174">
        <f>IF(OR($BA4="Any",$BA4=""),1,IF('All Data'!$E174=$BA4,1,0))</f>
        <v>1</v>
      </c>
      <c r="E174">
        <f>IF(OR($BA5="Any",$BA5=""),1,IF('All Data'!$F174=$BA5,1,0))</f>
        <v>1</v>
      </c>
      <c r="F174">
        <f>IF(OR($BA6="Any",$BA6=""),1,IF('All Data'!$G174=$BA6,1,0))</f>
        <v>0</v>
      </c>
      <c r="G174">
        <f>IF(AND(OR($BA$8="",ISNUMBER(SEARCH($BA$8,'All Data'!$K174&amp;" "&amp;'All Data'!$M174))),OR($BA$9="",ISNUMBER(SEARCH($BA$9,'All Data'!$K174&amp;" "&amp;'All Data'!$M174))),OR($BA$10="",ISNUMBER(SEARCH($BA$10,'All Data'!$K174&amp;" "&amp;'All Data'!$M174))),OR($BA$11="",ISNUMBER(SEARCH($BA$11,'All Data'!$K174&amp;" "&amp;'All Data'!$M174))),OR($BA$12="",ISNUMBER(SEARCH($BA$12,'All Data'!$K174&amp;" "&amp;'All Data'!$M174))),OR($BA$13="",ISNUMBER(SEARCH($BA$13,'All Data'!$K174&amp;" "&amp;'All Data'!$M174))),OR($BA$14="",ISNUMBER(SEARCH($BA$14,'All Data'!$K174&amp;" "&amp;'All Data'!$M174))),OR($BA$15="",ISNUMBER(SEARCH($BA$15,'All Data'!$K174&amp;" "&amp;'All Data'!$M174)))),1,0)</f>
        <v>1</v>
      </c>
      <c r="H174">
        <f t="shared" si="12"/>
        <v>0</v>
      </c>
      <c r="I174">
        <f>IF(AND($H174=1,'All Data'!$C174&lt;&gt;"",COUNTIFS($H$2:H173,1,'All Data'!$C$2:$C173,'All Data'!$C174)=0),1,0)</f>
        <v>0</v>
      </c>
      <c r="J174" t="str">
        <f>IF($I174=1,SUM($I$2:I174),"")</f>
        <v/>
      </c>
      <c r="K174">
        <f t="shared" si="13"/>
        <v>0</v>
      </c>
      <c r="L174">
        <f>IF(AND($K174=1,'All Data'!$D174&lt;&gt;"",COUNTIFS($K$2:K173,1,'All Data'!$D$2:$D173,'All Data'!$D174)=0),1,0)</f>
        <v>0</v>
      </c>
      <c r="M174" t="str">
        <f>IF($L174=1,SUM($L$2:L174),"")</f>
        <v/>
      </c>
      <c r="N174">
        <f t="shared" si="14"/>
        <v>0</v>
      </c>
      <c r="O174">
        <f>IF(AND($N174=1,'All Data'!$E174&lt;&gt;"",COUNTIFS($N$2:N173,1,'All Data'!$E$2:$E173,'All Data'!$E174)=0),1,0)</f>
        <v>0</v>
      </c>
      <c r="P174" t="str">
        <f>IF($O174=1,SUM($O$2:O174),"")</f>
        <v/>
      </c>
      <c r="Q174">
        <f t="shared" si="15"/>
        <v>0</v>
      </c>
      <c r="R174">
        <f>IF(AND($Q174=1,'All Data'!$F174&lt;&gt;"",COUNTIFS($Q$2:Q173,1,'All Data'!$F$2:$F173,'All Data'!$F174)=0),1,0)</f>
        <v>0</v>
      </c>
      <c r="S174" t="str">
        <f>IF($R174=1,SUM($R$2:R174),"")</f>
        <v/>
      </c>
      <c r="T174">
        <f t="shared" si="16"/>
        <v>0</v>
      </c>
      <c r="U174">
        <f>IF(AND($T174=1,'All Data'!$G174&lt;&gt;"",COUNTIFS($T$2:T173,1,'All Data'!$G$2:$G173,'All Data'!$G174)=0),1,0)</f>
        <v>0</v>
      </c>
      <c r="V174" t="str">
        <f>IF($U174=1,SUM($U$2:U174),"")</f>
        <v/>
      </c>
      <c r="W174">
        <f t="shared" si="17"/>
        <v>0</v>
      </c>
      <c r="X174" t="str">
        <f>IF($W174=1,SUM($W$2:W174),"")</f>
        <v/>
      </c>
    </row>
    <row r="175" spans="1:24" x14ac:dyDescent="0.3">
      <c r="A175">
        <f>IF(OR($BA1="Any",$BA1=""),1,IF('All Data'!$B175=$BA1,1,0))</f>
        <v>0</v>
      </c>
      <c r="B175">
        <f>IF(OR($BA2="Any",$BA2=""),1,IF('All Data'!$C175=$BA2,1,0))</f>
        <v>1</v>
      </c>
      <c r="C175">
        <f>IF(OR($BA3="Any",$BA3=""),1,IF('All Data'!$D175=$BA3,1,0))</f>
        <v>1</v>
      </c>
      <c r="D175">
        <f>IF(OR($BA4="Any",$BA4=""),1,IF('All Data'!$E175=$BA4,1,0))</f>
        <v>1</v>
      </c>
      <c r="E175">
        <f>IF(OR($BA5="Any",$BA5=""),1,IF('All Data'!$F175=$BA5,1,0))</f>
        <v>1</v>
      </c>
      <c r="F175">
        <f>IF(OR($BA6="Any",$BA6=""),1,IF('All Data'!$G175=$BA6,1,0))</f>
        <v>0</v>
      </c>
      <c r="G175">
        <f>IF(AND(OR($BA$8="",ISNUMBER(SEARCH($BA$8,'All Data'!$K175&amp;" "&amp;'All Data'!$M175))),OR($BA$9="",ISNUMBER(SEARCH($BA$9,'All Data'!$K175&amp;" "&amp;'All Data'!$M175))),OR($BA$10="",ISNUMBER(SEARCH($BA$10,'All Data'!$K175&amp;" "&amp;'All Data'!$M175))),OR($BA$11="",ISNUMBER(SEARCH($BA$11,'All Data'!$K175&amp;" "&amp;'All Data'!$M175))),OR($BA$12="",ISNUMBER(SEARCH($BA$12,'All Data'!$K175&amp;" "&amp;'All Data'!$M175))),OR($BA$13="",ISNUMBER(SEARCH($BA$13,'All Data'!$K175&amp;" "&amp;'All Data'!$M175))),OR($BA$14="",ISNUMBER(SEARCH($BA$14,'All Data'!$K175&amp;" "&amp;'All Data'!$M175))),OR($BA$15="",ISNUMBER(SEARCH($BA$15,'All Data'!$K175&amp;" "&amp;'All Data'!$M175)))),1,0)</f>
        <v>1</v>
      </c>
      <c r="H175">
        <f t="shared" si="12"/>
        <v>0</v>
      </c>
      <c r="I175">
        <f>IF(AND($H175=1,'All Data'!$C175&lt;&gt;"",COUNTIFS($H$2:H174,1,'All Data'!$C$2:$C174,'All Data'!$C175)=0),1,0)</f>
        <v>0</v>
      </c>
      <c r="J175" t="str">
        <f>IF($I175=1,SUM($I$2:I175),"")</f>
        <v/>
      </c>
      <c r="K175">
        <f t="shared" si="13"/>
        <v>0</v>
      </c>
      <c r="L175">
        <f>IF(AND($K175=1,'All Data'!$D175&lt;&gt;"",COUNTIFS($K$2:K174,1,'All Data'!$D$2:$D174,'All Data'!$D175)=0),1,0)</f>
        <v>0</v>
      </c>
      <c r="M175" t="str">
        <f>IF($L175=1,SUM($L$2:L175),"")</f>
        <v/>
      </c>
      <c r="N175">
        <f t="shared" si="14"/>
        <v>0</v>
      </c>
      <c r="O175">
        <f>IF(AND($N175=1,'All Data'!$E175&lt;&gt;"",COUNTIFS($N$2:N174,1,'All Data'!$E$2:$E174,'All Data'!$E175)=0),1,0)</f>
        <v>0</v>
      </c>
      <c r="P175" t="str">
        <f>IF($O175=1,SUM($O$2:O175),"")</f>
        <v/>
      </c>
      <c r="Q175">
        <f t="shared" si="15"/>
        <v>0</v>
      </c>
      <c r="R175">
        <f>IF(AND($Q175=1,'All Data'!$F175&lt;&gt;"",COUNTIFS($Q$2:Q174,1,'All Data'!$F$2:$F174,'All Data'!$F175)=0),1,0)</f>
        <v>0</v>
      </c>
      <c r="S175" t="str">
        <f>IF($R175=1,SUM($R$2:R175),"")</f>
        <v/>
      </c>
      <c r="T175">
        <f t="shared" si="16"/>
        <v>0</v>
      </c>
      <c r="U175">
        <f>IF(AND($T175=1,'All Data'!$G175&lt;&gt;"",COUNTIFS($T$2:T174,1,'All Data'!$G$2:$G174,'All Data'!$G175)=0),1,0)</f>
        <v>0</v>
      </c>
      <c r="V175" t="str">
        <f>IF($U175=1,SUM($U$2:U175),"")</f>
        <v/>
      </c>
      <c r="W175">
        <f t="shared" si="17"/>
        <v>0</v>
      </c>
      <c r="X175" t="str">
        <f>IF($W175=1,SUM($W$2:W175),"")</f>
        <v/>
      </c>
    </row>
    <row r="176" spans="1:24" x14ac:dyDescent="0.3">
      <c r="A176">
        <f>IF(OR($BA1="Any",$BA1=""),1,IF('All Data'!$B176=$BA1,1,0))</f>
        <v>0</v>
      </c>
      <c r="B176">
        <f>IF(OR($BA2="Any",$BA2=""),1,IF('All Data'!$C176=$BA2,1,0))</f>
        <v>1</v>
      </c>
      <c r="C176">
        <f>IF(OR($BA3="Any",$BA3=""),1,IF('All Data'!$D176=$BA3,1,0))</f>
        <v>1</v>
      </c>
      <c r="D176">
        <f>IF(OR($BA4="Any",$BA4=""),1,IF('All Data'!$E176=$BA4,1,0))</f>
        <v>1</v>
      </c>
      <c r="E176">
        <f>IF(OR($BA5="Any",$BA5=""),1,IF('All Data'!$F176=$BA5,1,0))</f>
        <v>1</v>
      </c>
      <c r="F176">
        <f>IF(OR($BA6="Any",$BA6=""),1,IF('All Data'!$G176=$BA6,1,0))</f>
        <v>0</v>
      </c>
      <c r="G176">
        <f>IF(AND(OR($BA$8="",ISNUMBER(SEARCH($BA$8,'All Data'!$K176&amp;" "&amp;'All Data'!$M176))),OR($BA$9="",ISNUMBER(SEARCH($BA$9,'All Data'!$K176&amp;" "&amp;'All Data'!$M176))),OR($BA$10="",ISNUMBER(SEARCH($BA$10,'All Data'!$K176&amp;" "&amp;'All Data'!$M176))),OR($BA$11="",ISNUMBER(SEARCH($BA$11,'All Data'!$K176&amp;" "&amp;'All Data'!$M176))),OR($BA$12="",ISNUMBER(SEARCH($BA$12,'All Data'!$K176&amp;" "&amp;'All Data'!$M176))),OR($BA$13="",ISNUMBER(SEARCH($BA$13,'All Data'!$K176&amp;" "&amp;'All Data'!$M176))),OR($BA$14="",ISNUMBER(SEARCH($BA$14,'All Data'!$K176&amp;" "&amp;'All Data'!$M176))),OR($BA$15="",ISNUMBER(SEARCH($BA$15,'All Data'!$K176&amp;" "&amp;'All Data'!$M176)))),1,0)</f>
        <v>1</v>
      </c>
      <c r="H176">
        <f t="shared" si="12"/>
        <v>0</v>
      </c>
      <c r="I176">
        <f>IF(AND($H176=1,'All Data'!$C176&lt;&gt;"",COUNTIFS($H$2:H175,1,'All Data'!$C$2:$C175,'All Data'!$C176)=0),1,0)</f>
        <v>0</v>
      </c>
      <c r="J176" t="str">
        <f>IF($I176=1,SUM($I$2:I176),"")</f>
        <v/>
      </c>
      <c r="K176">
        <f t="shared" si="13"/>
        <v>0</v>
      </c>
      <c r="L176">
        <f>IF(AND($K176=1,'All Data'!$D176&lt;&gt;"",COUNTIFS($K$2:K175,1,'All Data'!$D$2:$D175,'All Data'!$D176)=0),1,0)</f>
        <v>0</v>
      </c>
      <c r="M176" t="str">
        <f>IF($L176=1,SUM($L$2:L176),"")</f>
        <v/>
      </c>
      <c r="N176">
        <f t="shared" si="14"/>
        <v>0</v>
      </c>
      <c r="O176">
        <f>IF(AND($N176=1,'All Data'!$E176&lt;&gt;"",COUNTIFS($N$2:N175,1,'All Data'!$E$2:$E175,'All Data'!$E176)=0),1,0)</f>
        <v>0</v>
      </c>
      <c r="P176" t="str">
        <f>IF($O176=1,SUM($O$2:O176),"")</f>
        <v/>
      </c>
      <c r="Q176">
        <f t="shared" si="15"/>
        <v>0</v>
      </c>
      <c r="R176">
        <f>IF(AND($Q176=1,'All Data'!$F176&lt;&gt;"",COUNTIFS($Q$2:Q175,1,'All Data'!$F$2:$F175,'All Data'!$F176)=0),1,0)</f>
        <v>0</v>
      </c>
      <c r="S176" t="str">
        <f>IF($R176=1,SUM($R$2:R176),"")</f>
        <v/>
      </c>
      <c r="T176">
        <f t="shared" si="16"/>
        <v>0</v>
      </c>
      <c r="U176">
        <f>IF(AND($T176=1,'All Data'!$G176&lt;&gt;"",COUNTIFS($T$2:T175,1,'All Data'!$G$2:$G175,'All Data'!$G176)=0),1,0)</f>
        <v>0</v>
      </c>
      <c r="V176" t="str">
        <f>IF($U176=1,SUM($U$2:U176),"")</f>
        <v/>
      </c>
      <c r="W176">
        <f t="shared" si="17"/>
        <v>0</v>
      </c>
      <c r="X176" t="str">
        <f>IF($W176=1,SUM($W$2:W176),"")</f>
        <v/>
      </c>
    </row>
    <row r="177" spans="1:24" x14ac:dyDescent="0.3">
      <c r="A177">
        <f>IF(OR($BA1="Any",$BA1=""),1,IF('All Data'!$B177=$BA1,1,0))</f>
        <v>0</v>
      </c>
      <c r="B177">
        <f>IF(OR($BA2="Any",$BA2=""),1,IF('All Data'!$C177=$BA2,1,0))</f>
        <v>1</v>
      </c>
      <c r="C177">
        <f>IF(OR($BA3="Any",$BA3=""),1,IF('All Data'!$D177=$BA3,1,0))</f>
        <v>1</v>
      </c>
      <c r="D177">
        <f>IF(OR($BA4="Any",$BA4=""),1,IF('All Data'!$E177=$BA4,1,0))</f>
        <v>1</v>
      </c>
      <c r="E177">
        <f>IF(OR($BA5="Any",$BA5=""),1,IF('All Data'!$F177=$BA5,1,0))</f>
        <v>1</v>
      </c>
      <c r="F177">
        <f>IF(OR($BA6="Any",$BA6=""),1,IF('All Data'!$G177=$BA6,1,0))</f>
        <v>0</v>
      </c>
      <c r="G177">
        <f>IF(AND(OR($BA$8="",ISNUMBER(SEARCH($BA$8,'All Data'!$K177&amp;" "&amp;'All Data'!$M177))),OR($BA$9="",ISNUMBER(SEARCH($BA$9,'All Data'!$K177&amp;" "&amp;'All Data'!$M177))),OR($BA$10="",ISNUMBER(SEARCH($BA$10,'All Data'!$K177&amp;" "&amp;'All Data'!$M177))),OR($BA$11="",ISNUMBER(SEARCH($BA$11,'All Data'!$K177&amp;" "&amp;'All Data'!$M177))),OR($BA$12="",ISNUMBER(SEARCH($BA$12,'All Data'!$K177&amp;" "&amp;'All Data'!$M177))),OR($BA$13="",ISNUMBER(SEARCH($BA$13,'All Data'!$K177&amp;" "&amp;'All Data'!$M177))),OR($BA$14="",ISNUMBER(SEARCH($BA$14,'All Data'!$K177&amp;" "&amp;'All Data'!$M177))),OR($BA$15="",ISNUMBER(SEARCH($BA$15,'All Data'!$K177&amp;" "&amp;'All Data'!$M177)))),1,0)</f>
        <v>1</v>
      </c>
      <c r="H177">
        <f t="shared" si="12"/>
        <v>0</v>
      </c>
      <c r="I177">
        <f>IF(AND($H177=1,'All Data'!$C177&lt;&gt;"",COUNTIFS($H$2:H176,1,'All Data'!$C$2:$C176,'All Data'!$C177)=0),1,0)</f>
        <v>0</v>
      </c>
      <c r="J177" t="str">
        <f>IF($I177=1,SUM($I$2:I177),"")</f>
        <v/>
      </c>
      <c r="K177">
        <f t="shared" si="13"/>
        <v>0</v>
      </c>
      <c r="L177">
        <f>IF(AND($K177=1,'All Data'!$D177&lt;&gt;"",COUNTIFS($K$2:K176,1,'All Data'!$D$2:$D176,'All Data'!$D177)=0),1,0)</f>
        <v>0</v>
      </c>
      <c r="M177" t="str">
        <f>IF($L177=1,SUM($L$2:L177),"")</f>
        <v/>
      </c>
      <c r="N177">
        <f t="shared" si="14"/>
        <v>0</v>
      </c>
      <c r="O177">
        <f>IF(AND($N177=1,'All Data'!$E177&lt;&gt;"",COUNTIFS($N$2:N176,1,'All Data'!$E$2:$E176,'All Data'!$E177)=0),1,0)</f>
        <v>0</v>
      </c>
      <c r="P177" t="str">
        <f>IF($O177=1,SUM($O$2:O177),"")</f>
        <v/>
      </c>
      <c r="Q177">
        <f t="shared" si="15"/>
        <v>0</v>
      </c>
      <c r="R177">
        <f>IF(AND($Q177=1,'All Data'!$F177&lt;&gt;"",COUNTIFS($Q$2:Q176,1,'All Data'!$F$2:$F176,'All Data'!$F177)=0),1,0)</f>
        <v>0</v>
      </c>
      <c r="S177" t="str">
        <f>IF($R177=1,SUM($R$2:R177),"")</f>
        <v/>
      </c>
      <c r="T177">
        <f t="shared" si="16"/>
        <v>0</v>
      </c>
      <c r="U177">
        <f>IF(AND($T177=1,'All Data'!$G177&lt;&gt;"",COUNTIFS($T$2:T176,1,'All Data'!$G$2:$G176,'All Data'!$G177)=0),1,0)</f>
        <v>0</v>
      </c>
      <c r="V177" t="str">
        <f>IF($U177=1,SUM($U$2:U177),"")</f>
        <v/>
      </c>
      <c r="W177">
        <f t="shared" si="17"/>
        <v>0</v>
      </c>
      <c r="X177" t="str">
        <f>IF($W177=1,SUM($W$2:W177),"")</f>
        <v/>
      </c>
    </row>
    <row r="178" spans="1:24" x14ac:dyDescent="0.3">
      <c r="A178">
        <f>IF(OR($BA1="Any",$BA1=""),1,IF('All Data'!$B178=$BA1,1,0))</f>
        <v>0</v>
      </c>
      <c r="B178">
        <f>IF(OR($BA2="Any",$BA2=""),1,IF('All Data'!$C178=$BA2,1,0))</f>
        <v>1</v>
      </c>
      <c r="C178">
        <f>IF(OR($BA3="Any",$BA3=""),1,IF('All Data'!$D178=$BA3,1,0))</f>
        <v>1</v>
      </c>
      <c r="D178">
        <f>IF(OR($BA4="Any",$BA4=""),1,IF('All Data'!$E178=$BA4,1,0))</f>
        <v>1</v>
      </c>
      <c r="E178">
        <f>IF(OR($BA5="Any",$BA5=""),1,IF('All Data'!$F178=$BA5,1,0))</f>
        <v>1</v>
      </c>
      <c r="F178">
        <f>IF(OR($BA6="Any",$BA6=""),1,IF('All Data'!$G178=$BA6,1,0))</f>
        <v>0</v>
      </c>
      <c r="G178">
        <f>IF(AND(OR($BA$8="",ISNUMBER(SEARCH($BA$8,'All Data'!$K178&amp;" "&amp;'All Data'!$M178))),OR($BA$9="",ISNUMBER(SEARCH($BA$9,'All Data'!$K178&amp;" "&amp;'All Data'!$M178))),OR($BA$10="",ISNUMBER(SEARCH($BA$10,'All Data'!$K178&amp;" "&amp;'All Data'!$M178))),OR($BA$11="",ISNUMBER(SEARCH($BA$11,'All Data'!$K178&amp;" "&amp;'All Data'!$M178))),OR($BA$12="",ISNUMBER(SEARCH($BA$12,'All Data'!$K178&amp;" "&amp;'All Data'!$M178))),OR($BA$13="",ISNUMBER(SEARCH($BA$13,'All Data'!$K178&amp;" "&amp;'All Data'!$M178))),OR($BA$14="",ISNUMBER(SEARCH($BA$14,'All Data'!$K178&amp;" "&amp;'All Data'!$M178))),OR($BA$15="",ISNUMBER(SEARCH($BA$15,'All Data'!$K178&amp;" "&amp;'All Data'!$M178)))),1,0)</f>
        <v>1</v>
      </c>
      <c r="H178">
        <f t="shared" si="12"/>
        <v>0</v>
      </c>
      <c r="I178">
        <f>IF(AND($H178=1,'All Data'!$C178&lt;&gt;"",COUNTIFS($H$2:H177,1,'All Data'!$C$2:$C177,'All Data'!$C178)=0),1,0)</f>
        <v>0</v>
      </c>
      <c r="J178" t="str">
        <f>IF($I178=1,SUM($I$2:I178),"")</f>
        <v/>
      </c>
      <c r="K178">
        <f t="shared" si="13"/>
        <v>0</v>
      </c>
      <c r="L178">
        <f>IF(AND($K178=1,'All Data'!$D178&lt;&gt;"",COUNTIFS($K$2:K177,1,'All Data'!$D$2:$D177,'All Data'!$D178)=0),1,0)</f>
        <v>0</v>
      </c>
      <c r="M178" t="str">
        <f>IF($L178=1,SUM($L$2:L178),"")</f>
        <v/>
      </c>
      <c r="N178">
        <f t="shared" si="14"/>
        <v>0</v>
      </c>
      <c r="O178">
        <f>IF(AND($N178=1,'All Data'!$E178&lt;&gt;"",COUNTIFS($N$2:N177,1,'All Data'!$E$2:$E177,'All Data'!$E178)=0),1,0)</f>
        <v>0</v>
      </c>
      <c r="P178" t="str">
        <f>IF($O178=1,SUM($O$2:O178),"")</f>
        <v/>
      </c>
      <c r="Q178">
        <f t="shared" si="15"/>
        <v>0</v>
      </c>
      <c r="R178">
        <f>IF(AND($Q178=1,'All Data'!$F178&lt;&gt;"",COUNTIFS($Q$2:Q177,1,'All Data'!$F$2:$F177,'All Data'!$F178)=0),1,0)</f>
        <v>0</v>
      </c>
      <c r="S178" t="str">
        <f>IF($R178=1,SUM($R$2:R178),"")</f>
        <v/>
      </c>
      <c r="T178">
        <f t="shared" si="16"/>
        <v>0</v>
      </c>
      <c r="U178">
        <f>IF(AND($T178=1,'All Data'!$G178&lt;&gt;"",COUNTIFS($T$2:T177,1,'All Data'!$G$2:$G177,'All Data'!$G178)=0),1,0)</f>
        <v>0</v>
      </c>
      <c r="V178" t="str">
        <f>IF($U178=1,SUM($U$2:U178),"")</f>
        <v/>
      </c>
      <c r="W178">
        <f t="shared" si="17"/>
        <v>0</v>
      </c>
      <c r="X178" t="str">
        <f>IF($W178=1,SUM($W$2:W178),"")</f>
        <v/>
      </c>
    </row>
    <row r="179" spans="1:24" x14ac:dyDescent="0.3">
      <c r="A179">
        <f>IF(OR($BA1="Any",$BA1=""),1,IF('All Data'!$B179=$BA1,1,0))</f>
        <v>0</v>
      </c>
      <c r="B179">
        <f>IF(OR($BA2="Any",$BA2=""),1,IF('All Data'!$C179=$BA2,1,0))</f>
        <v>1</v>
      </c>
      <c r="C179">
        <f>IF(OR($BA3="Any",$BA3=""),1,IF('All Data'!$D179=$BA3,1,0))</f>
        <v>1</v>
      </c>
      <c r="D179">
        <f>IF(OR($BA4="Any",$BA4=""),1,IF('All Data'!$E179=$BA4,1,0))</f>
        <v>1</v>
      </c>
      <c r="E179">
        <f>IF(OR($BA5="Any",$BA5=""),1,IF('All Data'!$F179=$BA5,1,0))</f>
        <v>1</v>
      </c>
      <c r="F179">
        <f>IF(OR($BA6="Any",$BA6=""),1,IF('All Data'!$G179=$BA6,1,0))</f>
        <v>0</v>
      </c>
      <c r="G179">
        <f>IF(AND(OR($BA$8="",ISNUMBER(SEARCH($BA$8,'All Data'!$K179&amp;" "&amp;'All Data'!$M179))),OR($BA$9="",ISNUMBER(SEARCH($BA$9,'All Data'!$K179&amp;" "&amp;'All Data'!$M179))),OR($BA$10="",ISNUMBER(SEARCH($BA$10,'All Data'!$K179&amp;" "&amp;'All Data'!$M179))),OR($BA$11="",ISNUMBER(SEARCH($BA$11,'All Data'!$K179&amp;" "&amp;'All Data'!$M179))),OR($BA$12="",ISNUMBER(SEARCH($BA$12,'All Data'!$K179&amp;" "&amp;'All Data'!$M179))),OR($BA$13="",ISNUMBER(SEARCH($BA$13,'All Data'!$K179&amp;" "&amp;'All Data'!$M179))),OR($BA$14="",ISNUMBER(SEARCH($BA$14,'All Data'!$K179&amp;" "&amp;'All Data'!$M179))),OR($BA$15="",ISNUMBER(SEARCH($BA$15,'All Data'!$K179&amp;" "&amp;'All Data'!$M179)))),1,0)</f>
        <v>1</v>
      </c>
      <c r="H179">
        <f t="shared" si="12"/>
        <v>0</v>
      </c>
      <c r="I179">
        <f>IF(AND($H179=1,'All Data'!$C179&lt;&gt;"",COUNTIFS($H$2:H178,1,'All Data'!$C$2:$C178,'All Data'!$C179)=0),1,0)</f>
        <v>0</v>
      </c>
      <c r="J179" t="str">
        <f>IF($I179=1,SUM($I$2:I179),"")</f>
        <v/>
      </c>
      <c r="K179">
        <f t="shared" si="13"/>
        <v>0</v>
      </c>
      <c r="L179">
        <f>IF(AND($K179=1,'All Data'!$D179&lt;&gt;"",COUNTIFS($K$2:K178,1,'All Data'!$D$2:$D178,'All Data'!$D179)=0),1,0)</f>
        <v>0</v>
      </c>
      <c r="M179" t="str">
        <f>IF($L179=1,SUM($L$2:L179),"")</f>
        <v/>
      </c>
      <c r="N179">
        <f t="shared" si="14"/>
        <v>0</v>
      </c>
      <c r="O179">
        <f>IF(AND($N179=1,'All Data'!$E179&lt;&gt;"",COUNTIFS($N$2:N178,1,'All Data'!$E$2:$E178,'All Data'!$E179)=0),1,0)</f>
        <v>0</v>
      </c>
      <c r="P179" t="str">
        <f>IF($O179=1,SUM($O$2:O179),"")</f>
        <v/>
      </c>
      <c r="Q179">
        <f t="shared" si="15"/>
        <v>0</v>
      </c>
      <c r="R179">
        <f>IF(AND($Q179=1,'All Data'!$F179&lt;&gt;"",COUNTIFS($Q$2:Q178,1,'All Data'!$F$2:$F178,'All Data'!$F179)=0),1,0)</f>
        <v>0</v>
      </c>
      <c r="S179" t="str">
        <f>IF($R179=1,SUM($R$2:R179),"")</f>
        <v/>
      </c>
      <c r="T179">
        <f t="shared" si="16"/>
        <v>0</v>
      </c>
      <c r="U179">
        <f>IF(AND($T179=1,'All Data'!$G179&lt;&gt;"",COUNTIFS($T$2:T178,1,'All Data'!$G$2:$G178,'All Data'!$G179)=0),1,0)</f>
        <v>0</v>
      </c>
      <c r="V179" t="str">
        <f>IF($U179=1,SUM($U$2:U179),"")</f>
        <v/>
      </c>
      <c r="W179">
        <f t="shared" si="17"/>
        <v>0</v>
      </c>
      <c r="X179" t="str">
        <f>IF($W179=1,SUM($W$2:W179),"")</f>
        <v/>
      </c>
    </row>
    <row r="180" spans="1:24" x14ac:dyDescent="0.3">
      <c r="A180">
        <f>IF(OR($BA1="Any",$BA1=""),1,IF('All Data'!$B180=$BA1,1,0))</f>
        <v>0</v>
      </c>
      <c r="B180">
        <f>IF(OR($BA2="Any",$BA2=""),1,IF('All Data'!$C180=$BA2,1,0))</f>
        <v>1</v>
      </c>
      <c r="C180">
        <f>IF(OR($BA3="Any",$BA3=""),1,IF('All Data'!$D180=$BA3,1,0))</f>
        <v>1</v>
      </c>
      <c r="D180">
        <f>IF(OR($BA4="Any",$BA4=""),1,IF('All Data'!$E180=$BA4,1,0))</f>
        <v>1</v>
      </c>
      <c r="E180">
        <f>IF(OR($BA5="Any",$BA5=""),1,IF('All Data'!$F180=$BA5,1,0))</f>
        <v>1</v>
      </c>
      <c r="F180">
        <f>IF(OR($BA6="Any",$BA6=""),1,IF('All Data'!$G180=$BA6,1,0))</f>
        <v>0</v>
      </c>
      <c r="G180">
        <f>IF(AND(OR($BA$8="",ISNUMBER(SEARCH($BA$8,'All Data'!$K180&amp;" "&amp;'All Data'!$M180))),OR($BA$9="",ISNUMBER(SEARCH($BA$9,'All Data'!$K180&amp;" "&amp;'All Data'!$M180))),OR($BA$10="",ISNUMBER(SEARCH($BA$10,'All Data'!$K180&amp;" "&amp;'All Data'!$M180))),OR($BA$11="",ISNUMBER(SEARCH($BA$11,'All Data'!$K180&amp;" "&amp;'All Data'!$M180))),OR($BA$12="",ISNUMBER(SEARCH($BA$12,'All Data'!$K180&amp;" "&amp;'All Data'!$M180))),OR($BA$13="",ISNUMBER(SEARCH($BA$13,'All Data'!$K180&amp;" "&amp;'All Data'!$M180))),OR($BA$14="",ISNUMBER(SEARCH($BA$14,'All Data'!$K180&amp;" "&amp;'All Data'!$M180))),OR($BA$15="",ISNUMBER(SEARCH($BA$15,'All Data'!$K180&amp;" "&amp;'All Data'!$M180)))),1,0)</f>
        <v>1</v>
      </c>
      <c r="H180">
        <f t="shared" si="12"/>
        <v>0</v>
      </c>
      <c r="I180">
        <f>IF(AND($H180=1,'All Data'!$C180&lt;&gt;"",COUNTIFS($H$2:H179,1,'All Data'!$C$2:$C179,'All Data'!$C180)=0),1,0)</f>
        <v>0</v>
      </c>
      <c r="J180" t="str">
        <f>IF($I180=1,SUM($I$2:I180),"")</f>
        <v/>
      </c>
      <c r="K180">
        <f t="shared" si="13"/>
        <v>0</v>
      </c>
      <c r="L180">
        <f>IF(AND($K180=1,'All Data'!$D180&lt;&gt;"",COUNTIFS($K$2:K179,1,'All Data'!$D$2:$D179,'All Data'!$D180)=0),1,0)</f>
        <v>0</v>
      </c>
      <c r="M180" t="str">
        <f>IF($L180=1,SUM($L$2:L180),"")</f>
        <v/>
      </c>
      <c r="N180">
        <f t="shared" si="14"/>
        <v>0</v>
      </c>
      <c r="O180">
        <f>IF(AND($N180=1,'All Data'!$E180&lt;&gt;"",COUNTIFS($N$2:N179,1,'All Data'!$E$2:$E179,'All Data'!$E180)=0),1,0)</f>
        <v>0</v>
      </c>
      <c r="P180" t="str">
        <f>IF($O180=1,SUM($O$2:O180),"")</f>
        <v/>
      </c>
      <c r="Q180">
        <f t="shared" si="15"/>
        <v>0</v>
      </c>
      <c r="R180">
        <f>IF(AND($Q180=1,'All Data'!$F180&lt;&gt;"",COUNTIFS($Q$2:Q179,1,'All Data'!$F$2:$F179,'All Data'!$F180)=0),1,0)</f>
        <v>0</v>
      </c>
      <c r="S180" t="str">
        <f>IF($R180=1,SUM($R$2:R180),"")</f>
        <v/>
      </c>
      <c r="T180">
        <f t="shared" si="16"/>
        <v>0</v>
      </c>
      <c r="U180">
        <f>IF(AND($T180=1,'All Data'!$G180&lt;&gt;"",COUNTIFS($T$2:T179,1,'All Data'!$G$2:$G179,'All Data'!$G180)=0),1,0)</f>
        <v>0</v>
      </c>
      <c r="V180" t="str">
        <f>IF($U180=1,SUM($U$2:U180),"")</f>
        <v/>
      </c>
      <c r="W180">
        <f t="shared" si="17"/>
        <v>0</v>
      </c>
      <c r="X180" t="str">
        <f>IF($W180=1,SUM($W$2:W180),"")</f>
        <v/>
      </c>
    </row>
    <row r="181" spans="1:24" x14ac:dyDescent="0.3">
      <c r="A181">
        <f>IF(OR($BA1="Any",$BA1=""),1,IF('All Data'!$B181=$BA1,1,0))</f>
        <v>0</v>
      </c>
      <c r="B181">
        <f>IF(OR($BA2="Any",$BA2=""),1,IF('All Data'!$C181=$BA2,1,0))</f>
        <v>1</v>
      </c>
      <c r="C181">
        <f>IF(OR($BA3="Any",$BA3=""),1,IF('All Data'!$D181=$BA3,1,0))</f>
        <v>1</v>
      </c>
      <c r="D181">
        <f>IF(OR($BA4="Any",$BA4=""),1,IF('All Data'!$E181=$BA4,1,0))</f>
        <v>1</v>
      </c>
      <c r="E181">
        <f>IF(OR($BA5="Any",$BA5=""),1,IF('All Data'!$F181=$BA5,1,0))</f>
        <v>1</v>
      </c>
      <c r="F181">
        <f>IF(OR($BA6="Any",$BA6=""),1,IF('All Data'!$G181=$BA6,1,0))</f>
        <v>0</v>
      </c>
      <c r="G181">
        <f>IF(AND(OR($BA$8="",ISNUMBER(SEARCH($BA$8,'All Data'!$K181&amp;" "&amp;'All Data'!$M181))),OR($BA$9="",ISNUMBER(SEARCH($BA$9,'All Data'!$K181&amp;" "&amp;'All Data'!$M181))),OR($BA$10="",ISNUMBER(SEARCH($BA$10,'All Data'!$K181&amp;" "&amp;'All Data'!$M181))),OR($BA$11="",ISNUMBER(SEARCH($BA$11,'All Data'!$K181&amp;" "&amp;'All Data'!$M181))),OR($BA$12="",ISNUMBER(SEARCH($BA$12,'All Data'!$K181&amp;" "&amp;'All Data'!$M181))),OR($BA$13="",ISNUMBER(SEARCH($BA$13,'All Data'!$K181&amp;" "&amp;'All Data'!$M181))),OR($BA$14="",ISNUMBER(SEARCH($BA$14,'All Data'!$K181&amp;" "&amp;'All Data'!$M181))),OR($BA$15="",ISNUMBER(SEARCH($BA$15,'All Data'!$K181&amp;" "&amp;'All Data'!$M181)))),1,0)</f>
        <v>1</v>
      </c>
      <c r="H181">
        <f t="shared" si="12"/>
        <v>0</v>
      </c>
      <c r="I181">
        <f>IF(AND($H181=1,'All Data'!$C181&lt;&gt;"",COUNTIFS($H$2:H180,1,'All Data'!$C$2:$C180,'All Data'!$C181)=0),1,0)</f>
        <v>0</v>
      </c>
      <c r="J181" t="str">
        <f>IF($I181=1,SUM($I$2:I181),"")</f>
        <v/>
      </c>
      <c r="K181">
        <f t="shared" si="13"/>
        <v>0</v>
      </c>
      <c r="L181">
        <f>IF(AND($K181=1,'All Data'!$D181&lt;&gt;"",COUNTIFS($K$2:K180,1,'All Data'!$D$2:$D180,'All Data'!$D181)=0),1,0)</f>
        <v>0</v>
      </c>
      <c r="M181" t="str">
        <f>IF($L181=1,SUM($L$2:L181),"")</f>
        <v/>
      </c>
      <c r="N181">
        <f t="shared" si="14"/>
        <v>0</v>
      </c>
      <c r="O181">
        <f>IF(AND($N181=1,'All Data'!$E181&lt;&gt;"",COUNTIFS($N$2:N180,1,'All Data'!$E$2:$E180,'All Data'!$E181)=0),1,0)</f>
        <v>0</v>
      </c>
      <c r="P181" t="str">
        <f>IF($O181=1,SUM($O$2:O181),"")</f>
        <v/>
      </c>
      <c r="Q181">
        <f t="shared" si="15"/>
        <v>0</v>
      </c>
      <c r="R181">
        <f>IF(AND($Q181=1,'All Data'!$F181&lt;&gt;"",COUNTIFS($Q$2:Q180,1,'All Data'!$F$2:$F180,'All Data'!$F181)=0),1,0)</f>
        <v>0</v>
      </c>
      <c r="S181" t="str">
        <f>IF($R181=1,SUM($R$2:R181),"")</f>
        <v/>
      </c>
      <c r="T181">
        <f t="shared" si="16"/>
        <v>0</v>
      </c>
      <c r="U181">
        <f>IF(AND($T181=1,'All Data'!$G181&lt;&gt;"",COUNTIFS($T$2:T180,1,'All Data'!$G$2:$G180,'All Data'!$G181)=0),1,0)</f>
        <v>0</v>
      </c>
      <c r="V181" t="str">
        <f>IF($U181=1,SUM($U$2:U181),"")</f>
        <v/>
      </c>
      <c r="W181">
        <f t="shared" si="17"/>
        <v>0</v>
      </c>
      <c r="X181" t="str">
        <f>IF($W181=1,SUM($W$2:W181),"")</f>
        <v/>
      </c>
    </row>
    <row r="182" spans="1:24" x14ac:dyDescent="0.3">
      <c r="A182">
        <f>IF(OR($BA1="Any",$BA1=""),1,IF('All Data'!$B182=$BA1,1,0))</f>
        <v>0</v>
      </c>
      <c r="B182">
        <f>IF(OR($BA2="Any",$BA2=""),1,IF('All Data'!$C182=$BA2,1,0))</f>
        <v>1</v>
      </c>
      <c r="C182">
        <f>IF(OR($BA3="Any",$BA3=""),1,IF('All Data'!$D182=$BA3,1,0))</f>
        <v>1</v>
      </c>
      <c r="D182">
        <f>IF(OR($BA4="Any",$BA4=""),1,IF('All Data'!$E182=$BA4,1,0))</f>
        <v>1</v>
      </c>
      <c r="E182">
        <f>IF(OR($BA5="Any",$BA5=""),1,IF('All Data'!$F182=$BA5,1,0))</f>
        <v>1</v>
      </c>
      <c r="F182">
        <f>IF(OR($BA6="Any",$BA6=""),1,IF('All Data'!$G182=$BA6,1,0))</f>
        <v>0</v>
      </c>
      <c r="G182">
        <f>IF(AND(OR($BA$8="",ISNUMBER(SEARCH($BA$8,'All Data'!$K182&amp;" "&amp;'All Data'!$M182))),OR($BA$9="",ISNUMBER(SEARCH($BA$9,'All Data'!$K182&amp;" "&amp;'All Data'!$M182))),OR($BA$10="",ISNUMBER(SEARCH($BA$10,'All Data'!$K182&amp;" "&amp;'All Data'!$M182))),OR($BA$11="",ISNUMBER(SEARCH($BA$11,'All Data'!$K182&amp;" "&amp;'All Data'!$M182))),OR($BA$12="",ISNUMBER(SEARCH($BA$12,'All Data'!$K182&amp;" "&amp;'All Data'!$M182))),OR($BA$13="",ISNUMBER(SEARCH($BA$13,'All Data'!$K182&amp;" "&amp;'All Data'!$M182))),OR($BA$14="",ISNUMBER(SEARCH($BA$14,'All Data'!$K182&amp;" "&amp;'All Data'!$M182))),OR($BA$15="",ISNUMBER(SEARCH($BA$15,'All Data'!$K182&amp;" "&amp;'All Data'!$M182)))),1,0)</f>
        <v>1</v>
      </c>
      <c r="H182">
        <f t="shared" si="12"/>
        <v>0</v>
      </c>
      <c r="I182">
        <f>IF(AND($H182=1,'All Data'!$C182&lt;&gt;"",COUNTIFS($H$2:H181,1,'All Data'!$C$2:$C181,'All Data'!$C182)=0),1,0)</f>
        <v>0</v>
      </c>
      <c r="J182" t="str">
        <f>IF($I182=1,SUM($I$2:I182),"")</f>
        <v/>
      </c>
      <c r="K182">
        <f t="shared" si="13"/>
        <v>0</v>
      </c>
      <c r="L182">
        <f>IF(AND($K182=1,'All Data'!$D182&lt;&gt;"",COUNTIFS($K$2:K181,1,'All Data'!$D$2:$D181,'All Data'!$D182)=0),1,0)</f>
        <v>0</v>
      </c>
      <c r="M182" t="str">
        <f>IF($L182=1,SUM($L$2:L182),"")</f>
        <v/>
      </c>
      <c r="N182">
        <f t="shared" si="14"/>
        <v>0</v>
      </c>
      <c r="O182">
        <f>IF(AND($N182=1,'All Data'!$E182&lt;&gt;"",COUNTIFS($N$2:N181,1,'All Data'!$E$2:$E181,'All Data'!$E182)=0),1,0)</f>
        <v>0</v>
      </c>
      <c r="P182" t="str">
        <f>IF($O182=1,SUM($O$2:O182),"")</f>
        <v/>
      </c>
      <c r="Q182">
        <f t="shared" si="15"/>
        <v>0</v>
      </c>
      <c r="R182">
        <f>IF(AND($Q182=1,'All Data'!$F182&lt;&gt;"",COUNTIFS($Q$2:Q181,1,'All Data'!$F$2:$F181,'All Data'!$F182)=0),1,0)</f>
        <v>0</v>
      </c>
      <c r="S182" t="str">
        <f>IF($R182=1,SUM($R$2:R182),"")</f>
        <v/>
      </c>
      <c r="T182">
        <f t="shared" si="16"/>
        <v>0</v>
      </c>
      <c r="U182">
        <f>IF(AND($T182=1,'All Data'!$G182&lt;&gt;"",COUNTIFS($T$2:T181,1,'All Data'!$G$2:$G181,'All Data'!$G182)=0),1,0)</f>
        <v>0</v>
      </c>
      <c r="V182" t="str">
        <f>IF($U182=1,SUM($U$2:U182),"")</f>
        <v/>
      </c>
      <c r="W182">
        <f t="shared" si="17"/>
        <v>0</v>
      </c>
      <c r="X182" t="str">
        <f>IF($W182=1,SUM($W$2:W182),"")</f>
        <v/>
      </c>
    </row>
    <row r="183" spans="1:24" x14ac:dyDescent="0.3">
      <c r="A183">
        <f>IF(OR($BA1="Any",$BA1=""),1,IF('All Data'!$B183=$BA1,1,0))</f>
        <v>0</v>
      </c>
      <c r="B183">
        <f>IF(OR($BA2="Any",$BA2=""),1,IF('All Data'!$C183=$BA2,1,0))</f>
        <v>1</v>
      </c>
      <c r="C183">
        <f>IF(OR($BA3="Any",$BA3=""),1,IF('All Data'!$D183=$BA3,1,0))</f>
        <v>1</v>
      </c>
      <c r="D183">
        <f>IF(OR($BA4="Any",$BA4=""),1,IF('All Data'!$E183=$BA4,1,0))</f>
        <v>1</v>
      </c>
      <c r="E183">
        <f>IF(OR($BA5="Any",$BA5=""),1,IF('All Data'!$F183=$BA5,1,0))</f>
        <v>1</v>
      </c>
      <c r="F183">
        <f>IF(OR($BA6="Any",$BA6=""),1,IF('All Data'!$G183=$BA6,1,0))</f>
        <v>0</v>
      </c>
      <c r="G183">
        <f>IF(AND(OR($BA$8="",ISNUMBER(SEARCH($BA$8,'All Data'!$K183&amp;" "&amp;'All Data'!$M183))),OR($BA$9="",ISNUMBER(SEARCH($BA$9,'All Data'!$K183&amp;" "&amp;'All Data'!$M183))),OR($BA$10="",ISNUMBER(SEARCH($BA$10,'All Data'!$K183&amp;" "&amp;'All Data'!$M183))),OR($BA$11="",ISNUMBER(SEARCH($BA$11,'All Data'!$K183&amp;" "&amp;'All Data'!$M183))),OR($BA$12="",ISNUMBER(SEARCH($BA$12,'All Data'!$K183&amp;" "&amp;'All Data'!$M183))),OR($BA$13="",ISNUMBER(SEARCH($BA$13,'All Data'!$K183&amp;" "&amp;'All Data'!$M183))),OR($BA$14="",ISNUMBER(SEARCH($BA$14,'All Data'!$K183&amp;" "&amp;'All Data'!$M183))),OR($BA$15="",ISNUMBER(SEARCH($BA$15,'All Data'!$K183&amp;" "&amp;'All Data'!$M183)))),1,0)</f>
        <v>1</v>
      </c>
      <c r="H183">
        <f t="shared" si="12"/>
        <v>0</v>
      </c>
      <c r="I183">
        <f>IF(AND($H183=1,'All Data'!$C183&lt;&gt;"",COUNTIFS($H$2:H182,1,'All Data'!$C$2:$C182,'All Data'!$C183)=0),1,0)</f>
        <v>0</v>
      </c>
      <c r="J183" t="str">
        <f>IF($I183=1,SUM($I$2:I183),"")</f>
        <v/>
      </c>
      <c r="K183">
        <f t="shared" si="13"/>
        <v>0</v>
      </c>
      <c r="L183">
        <f>IF(AND($K183=1,'All Data'!$D183&lt;&gt;"",COUNTIFS($K$2:K182,1,'All Data'!$D$2:$D182,'All Data'!$D183)=0),1,0)</f>
        <v>0</v>
      </c>
      <c r="M183" t="str">
        <f>IF($L183=1,SUM($L$2:L183),"")</f>
        <v/>
      </c>
      <c r="N183">
        <f t="shared" si="14"/>
        <v>0</v>
      </c>
      <c r="O183">
        <f>IF(AND($N183=1,'All Data'!$E183&lt;&gt;"",COUNTIFS($N$2:N182,1,'All Data'!$E$2:$E182,'All Data'!$E183)=0),1,0)</f>
        <v>0</v>
      </c>
      <c r="P183" t="str">
        <f>IF($O183=1,SUM($O$2:O183),"")</f>
        <v/>
      </c>
      <c r="Q183">
        <f t="shared" si="15"/>
        <v>0</v>
      </c>
      <c r="R183">
        <f>IF(AND($Q183=1,'All Data'!$F183&lt;&gt;"",COUNTIFS($Q$2:Q182,1,'All Data'!$F$2:$F182,'All Data'!$F183)=0),1,0)</f>
        <v>0</v>
      </c>
      <c r="S183" t="str">
        <f>IF($R183=1,SUM($R$2:R183),"")</f>
        <v/>
      </c>
      <c r="T183">
        <f t="shared" si="16"/>
        <v>0</v>
      </c>
      <c r="U183">
        <f>IF(AND($T183=1,'All Data'!$G183&lt;&gt;"",COUNTIFS($T$2:T182,1,'All Data'!$G$2:$G182,'All Data'!$G183)=0),1,0)</f>
        <v>0</v>
      </c>
      <c r="V183" t="str">
        <f>IF($U183=1,SUM($U$2:U183),"")</f>
        <v/>
      </c>
      <c r="W183">
        <f t="shared" si="17"/>
        <v>0</v>
      </c>
      <c r="X183" t="str">
        <f>IF($W183=1,SUM($W$2:W183),"")</f>
        <v/>
      </c>
    </row>
    <row r="184" spans="1:24" x14ac:dyDescent="0.3">
      <c r="A184">
        <f>IF(OR($BA1="Any",$BA1=""),1,IF('All Data'!$B184=$BA1,1,0))</f>
        <v>0</v>
      </c>
      <c r="B184">
        <f>IF(OR($BA2="Any",$BA2=""),1,IF('All Data'!$C184=$BA2,1,0))</f>
        <v>1</v>
      </c>
      <c r="C184">
        <f>IF(OR($BA3="Any",$BA3=""),1,IF('All Data'!$D184=$BA3,1,0))</f>
        <v>1</v>
      </c>
      <c r="D184">
        <f>IF(OR($BA4="Any",$BA4=""),1,IF('All Data'!$E184=$BA4,1,0))</f>
        <v>1</v>
      </c>
      <c r="E184">
        <f>IF(OR($BA5="Any",$BA5=""),1,IF('All Data'!$F184=$BA5,1,0))</f>
        <v>1</v>
      </c>
      <c r="F184">
        <f>IF(OR($BA6="Any",$BA6=""),1,IF('All Data'!$G184=$BA6,1,0))</f>
        <v>0</v>
      </c>
      <c r="G184">
        <f>IF(AND(OR($BA$8="",ISNUMBER(SEARCH($BA$8,'All Data'!$K184&amp;" "&amp;'All Data'!$M184))),OR($BA$9="",ISNUMBER(SEARCH($BA$9,'All Data'!$K184&amp;" "&amp;'All Data'!$M184))),OR($BA$10="",ISNUMBER(SEARCH($BA$10,'All Data'!$K184&amp;" "&amp;'All Data'!$M184))),OR($BA$11="",ISNUMBER(SEARCH($BA$11,'All Data'!$K184&amp;" "&amp;'All Data'!$M184))),OR($BA$12="",ISNUMBER(SEARCH($BA$12,'All Data'!$K184&amp;" "&amp;'All Data'!$M184))),OR($BA$13="",ISNUMBER(SEARCH($BA$13,'All Data'!$K184&amp;" "&amp;'All Data'!$M184))),OR($BA$14="",ISNUMBER(SEARCH($BA$14,'All Data'!$K184&amp;" "&amp;'All Data'!$M184))),OR($BA$15="",ISNUMBER(SEARCH($BA$15,'All Data'!$K184&amp;" "&amp;'All Data'!$M184)))),1,0)</f>
        <v>1</v>
      </c>
      <c r="H184">
        <f t="shared" si="12"/>
        <v>0</v>
      </c>
      <c r="I184">
        <f>IF(AND($H184=1,'All Data'!$C184&lt;&gt;"",COUNTIFS($H$2:H183,1,'All Data'!$C$2:$C183,'All Data'!$C184)=0),1,0)</f>
        <v>0</v>
      </c>
      <c r="J184" t="str">
        <f>IF($I184=1,SUM($I$2:I184),"")</f>
        <v/>
      </c>
      <c r="K184">
        <f t="shared" si="13"/>
        <v>0</v>
      </c>
      <c r="L184">
        <f>IF(AND($K184=1,'All Data'!$D184&lt;&gt;"",COUNTIFS($K$2:K183,1,'All Data'!$D$2:$D183,'All Data'!$D184)=0),1,0)</f>
        <v>0</v>
      </c>
      <c r="M184" t="str">
        <f>IF($L184=1,SUM($L$2:L184),"")</f>
        <v/>
      </c>
      <c r="N184">
        <f t="shared" si="14"/>
        <v>0</v>
      </c>
      <c r="O184">
        <f>IF(AND($N184=1,'All Data'!$E184&lt;&gt;"",COUNTIFS($N$2:N183,1,'All Data'!$E$2:$E183,'All Data'!$E184)=0),1,0)</f>
        <v>0</v>
      </c>
      <c r="P184" t="str">
        <f>IF($O184=1,SUM($O$2:O184),"")</f>
        <v/>
      </c>
      <c r="Q184">
        <f t="shared" si="15"/>
        <v>0</v>
      </c>
      <c r="R184">
        <f>IF(AND($Q184=1,'All Data'!$F184&lt;&gt;"",COUNTIFS($Q$2:Q183,1,'All Data'!$F$2:$F183,'All Data'!$F184)=0),1,0)</f>
        <v>0</v>
      </c>
      <c r="S184" t="str">
        <f>IF($R184=1,SUM($R$2:R184),"")</f>
        <v/>
      </c>
      <c r="T184">
        <f t="shared" si="16"/>
        <v>0</v>
      </c>
      <c r="U184">
        <f>IF(AND($T184=1,'All Data'!$G184&lt;&gt;"",COUNTIFS($T$2:T183,1,'All Data'!$G$2:$G183,'All Data'!$G184)=0),1,0)</f>
        <v>0</v>
      </c>
      <c r="V184" t="str">
        <f>IF($U184=1,SUM($U$2:U184),"")</f>
        <v/>
      </c>
      <c r="W184">
        <f t="shared" si="17"/>
        <v>0</v>
      </c>
      <c r="X184" t="str">
        <f>IF($W184=1,SUM($W$2:W184),"")</f>
        <v/>
      </c>
    </row>
    <row r="185" spans="1:24" x14ac:dyDescent="0.3">
      <c r="A185">
        <f>IF(OR($BA1="Any",$BA1=""),1,IF('All Data'!$B185=$BA1,1,0))</f>
        <v>0</v>
      </c>
      <c r="B185">
        <f>IF(OR($BA2="Any",$BA2=""),1,IF('All Data'!$C185=$BA2,1,0))</f>
        <v>1</v>
      </c>
      <c r="C185">
        <f>IF(OR($BA3="Any",$BA3=""),1,IF('All Data'!$D185=$BA3,1,0))</f>
        <v>1</v>
      </c>
      <c r="D185">
        <f>IF(OR($BA4="Any",$BA4=""),1,IF('All Data'!$E185=$BA4,1,0))</f>
        <v>1</v>
      </c>
      <c r="E185">
        <f>IF(OR($BA5="Any",$BA5=""),1,IF('All Data'!$F185=$BA5,1,0))</f>
        <v>1</v>
      </c>
      <c r="F185">
        <f>IF(OR($BA6="Any",$BA6=""),1,IF('All Data'!$G185=$BA6,1,0))</f>
        <v>0</v>
      </c>
      <c r="G185">
        <f>IF(AND(OR($BA$8="",ISNUMBER(SEARCH($BA$8,'All Data'!$K185&amp;" "&amp;'All Data'!$M185))),OR($BA$9="",ISNUMBER(SEARCH($BA$9,'All Data'!$K185&amp;" "&amp;'All Data'!$M185))),OR($BA$10="",ISNUMBER(SEARCH($BA$10,'All Data'!$K185&amp;" "&amp;'All Data'!$M185))),OR($BA$11="",ISNUMBER(SEARCH($BA$11,'All Data'!$K185&amp;" "&amp;'All Data'!$M185))),OR($BA$12="",ISNUMBER(SEARCH($BA$12,'All Data'!$K185&amp;" "&amp;'All Data'!$M185))),OR($BA$13="",ISNUMBER(SEARCH($BA$13,'All Data'!$K185&amp;" "&amp;'All Data'!$M185))),OR($BA$14="",ISNUMBER(SEARCH($BA$14,'All Data'!$K185&amp;" "&amp;'All Data'!$M185))),OR($BA$15="",ISNUMBER(SEARCH($BA$15,'All Data'!$K185&amp;" "&amp;'All Data'!$M185)))),1,0)</f>
        <v>1</v>
      </c>
      <c r="H185">
        <f t="shared" si="12"/>
        <v>0</v>
      </c>
      <c r="I185">
        <f>IF(AND($H185=1,'All Data'!$C185&lt;&gt;"",COUNTIFS($H$2:H184,1,'All Data'!$C$2:$C184,'All Data'!$C185)=0),1,0)</f>
        <v>0</v>
      </c>
      <c r="J185" t="str">
        <f>IF($I185=1,SUM($I$2:I185),"")</f>
        <v/>
      </c>
      <c r="K185">
        <f t="shared" si="13"/>
        <v>0</v>
      </c>
      <c r="L185">
        <f>IF(AND($K185=1,'All Data'!$D185&lt;&gt;"",COUNTIFS($K$2:K184,1,'All Data'!$D$2:$D184,'All Data'!$D185)=0),1,0)</f>
        <v>0</v>
      </c>
      <c r="M185" t="str">
        <f>IF($L185=1,SUM($L$2:L185),"")</f>
        <v/>
      </c>
      <c r="N185">
        <f t="shared" si="14"/>
        <v>0</v>
      </c>
      <c r="O185">
        <f>IF(AND($N185=1,'All Data'!$E185&lt;&gt;"",COUNTIFS($N$2:N184,1,'All Data'!$E$2:$E184,'All Data'!$E185)=0),1,0)</f>
        <v>0</v>
      </c>
      <c r="P185" t="str">
        <f>IF($O185=1,SUM($O$2:O185),"")</f>
        <v/>
      </c>
      <c r="Q185">
        <f t="shared" si="15"/>
        <v>0</v>
      </c>
      <c r="R185">
        <f>IF(AND($Q185=1,'All Data'!$F185&lt;&gt;"",COUNTIFS($Q$2:Q184,1,'All Data'!$F$2:$F184,'All Data'!$F185)=0),1,0)</f>
        <v>0</v>
      </c>
      <c r="S185" t="str">
        <f>IF($R185=1,SUM($R$2:R185),"")</f>
        <v/>
      </c>
      <c r="T185">
        <f t="shared" si="16"/>
        <v>0</v>
      </c>
      <c r="U185">
        <f>IF(AND($T185=1,'All Data'!$G185&lt;&gt;"",COUNTIFS($T$2:T184,1,'All Data'!$G$2:$G184,'All Data'!$G185)=0),1,0)</f>
        <v>0</v>
      </c>
      <c r="V185" t="str">
        <f>IF($U185=1,SUM($U$2:U185),"")</f>
        <v/>
      </c>
      <c r="W185">
        <f t="shared" si="17"/>
        <v>0</v>
      </c>
      <c r="X185" t="str">
        <f>IF($W185=1,SUM($W$2:W185),"")</f>
        <v/>
      </c>
    </row>
    <row r="186" spans="1:24" x14ac:dyDescent="0.3">
      <c r="A186">
        <f>IF(OR($BA1="Any",$BA1=""),1,IF('All Data'!$B186=$BA1,1,0))</f>
        <v>0</v>
      </c>
      <c r="B186">
        <f>IF(OR($BA2="Any",$BA2=""),1,IF('All Data'!$C186=$BA2,1,0))</f>
        <v>1</v>
      </c>
      <c r="C186">
        <f>IF(OR($BA3="Any",$BA3=""),1,IF('All Data'!$D186=$BA3,1,0))</f>
        <v>1</v>
      </c>
      <c r="D186">
        <f>IF(OR($BA4="Any",$BA4=""),1,IF('All Data'!$E186=$BA4,1,0))</f>
        <v>1</v>
      </c>
      <c r="E186">
        <f>IF(OR($BA5="Any",$BA5=""),1,IF('All Data'!$F186=$BA5,1,0))</f>
        <v>1</v>
      </c>
      <c r="F186">
        <f>IF(OR($BA6="Any",$BA6=""),1,IF('All Data'!$G186=$BA6,1,0))</f>
        <v>0</v>
      </c>
      <c r="G186">
        <f>IF(AND(OR($BA$8="",ISNUMBER(SEARCH($BA$8,'All Data'!$K186&amp;" "&amp;'All Data'!$M186))),OR($BA$9="",ISNUMBER(SEARCH($BA$9,'All Data'!$K186&amp;" "&amp;'All Data'!$M186))),OR($BA$10="",ISNUMBER(SEARCH($BA$10,'All Data'!$K186&amp;" "&amp;'All Data'!$M186))),OR($BA$11="",ISNUMBER(SEARCH($BA$11,'All Data'!$K186&amp;" "&amp;'All Data'!$M186))),OR($BA$12="",ISNUMBER(SEARCH($BA$12,'All Data'!$K186&amp;" "&amp;'All Data'!$M186))),OR($BA$13="",ISNUMBER(SEARCH($BA$13,'All Data'!$K186&amp;" "&amp;'All Data'!$M186))),OR($BA$14="",ISNUMBER(SEARCH($BA$14,'All Data'!$K186&amp;" "&amp;'All Data'!$M186))),OR($BA$15="",ISNUMBER(SEARCH($BA$15,'All Data'!$K186&amp;" "&amp;'All Data'!$M186)))),1,0)</f>
        <v>1</v>
      </c>
      <c r="H186">
        <f t="shared" si="12"/>
        <v>0</v>
      </c>
      <c r="I186">
        <f>IF(AND($H186=1,'All Data'!$C186&lt;&gt;"",COUNTIFS($H$2:H185,1,'All Data'!$C$2:$C185,'All Data'!$C186)=0),1,0)</f>
        <v>0</v>
      </c>
      <c r="J186" t="str">
        <f>IF($I186=1,SUM($I$2:I186),"")</f>
        <v/>
      </c>
      <c r="K186">
        <f t="shared" si="13"/>
        <v>0</v>
      </c>
      <c r="L186">
        <f>IF(AND($K186=1,'All Data'!$D186&lt;&gt;"",COUNTIFS($K$2:K185,1,'All Data'!$D$2:$D185,'All Data'!$D186)=0),1,0)</f>
        <v>0</v>
      </c>
      <c r="M186" t="str">
        <f>IF($L186=1,SUM($L$2:L186),"")</f>
        <v/>
      </c>
      <c r="N186">
        <f t="shared" si="14"/>
        <v>0</v>
      </c>
      <c r="O186">
        <f>IF(AND($N186=1,'All Data'!$E186&lt;&gt;"",COUNTIFS($N$2:N185,1,'All Data'!$E$2:$E185,'All Data'!$E186)=0),1,0)</f>
        <v>0</v>
      </c>
      <c r="P186" t="str">
        <f>IF($O186=1,SUM($O$2:O186),"")</f>
        <v/>
      </c>
      <c r="Q186">
        <f t="shared" si="15"/>
        <v>0</v>
      </c>
      <c r="R186">
        <f>IF(AND($Q186=1,'All Data'!$F186&lt;&gt;"",COUNTIFS($Q$2:Q185,1,'All Data'!$F$2:$F185,'All Data'!$F186)=0),1,0)</f>
        <v>0</v>
      </c>
      <c r="S186" t="str">
        <f>IF($R186=1,SUM($R$2:R186),"")</f>
        <v/>
      </c>
      <c r="T186">
        <f t="shared" si="16"/>
        <v>0</v>
      </c>
      <c r="U186">
        <f>IF(AND($T186=1,'All Data'!$G186&lt;&gt;"",COUNTIFS($T$2:T185,1,'All Data'!$G$2:$G185,'All Data'!$G186)=0),1,0)</f>
        <v>0</v>
      </c>
      <c r="V186" t="str">
        <f>IF($U186=1,SUM($U$2:U186),"")</f>
        <v/>
      </c>
      <c r="W186">
        <f t="shared" si="17"/>
        <v>0</v>
      </c>
      <c r="X186" t="str">
        <f>IF($W186=1,SUM($W$2:W186),"")</f>
        <v/>
      </c>
    </row>
    <row r="187" spans="1:24" x14ac:dyDescent="0.3">
      <c r="A187">
        <f>IF(OR($BA1="Any",$BA1=""),1,IF('All Data'!$B187=$BA1,1,0))</f>
        <v>0</v>
      </c>
      <c r="B187">
        <f>IF(OR($BA2="Any",$BA2=""),1,IF('All Data'!$C187=$BA2,1,0))</f>
        <v>1</v>
      </c>
      <c r="C187">
        <f>IF(OR($BA3="Any",$BA3=""),1,IF('All Data'!$D187=$BA3,1,0))</f>
        <v>1</v>
      </c>
      <c r="D187">
        <f>IF(OR($BA4="Any",$BA4=""),1,IF('All Data'!$E187=$BA4,1,0))</f>
        <v>1</v>
      </c>
      <c r="E187">
        <f>IF(OR($BA5="Any",$BA5=""),1,IF('All Data'!$F187=$BA5,1,0))</f>
        <v>1</v>
      </c>
      <c r="F187">
        <f>IF(OR($BA6="Any",$BA6=""),1,IF('All Data'!$G187=$BA6,1,0))</f>
        <v>0</v>
      </c>
      <c r="G187">
        <f>IF(AND(OR($BA$8="",ISNUMBER(SEARCH($BA$8,'All Data'!$K187&amp;" "&amp;'All Data'!$M187))),OR($BA$9="",ISNUMBER(SEARCH($BA$9,'All Data'!$K187&amp;" "&amp;'All Data'!$M187))),OR($BA$10="",ISNUMBER(SEARCH($BA$10,'All Data'!$K187&amp;" "&amp;'All Data'!$M187))),OR($BA$11="",ISNUMBER(SEARCH($BA$11,'All Data'!$K187&amp;" "&amp;'All Data'!$M187))),OR($BA$12="",ISNUMBER(SEARCH($BA$12,'All Data'!$K187&amp;" "&amp;'All Data'!$M187))),OR($BA$13="",ISNUMBER(SEARCH($BA$13,'All Data'!$K187&amp;" "&amp;'All Data'!$M187))),OR($BA$14="",ISNUMBER(SEARCH($BA$14,'All Data'!$K187&amp;" "&amp;'All Data'!$M187))),OR($BA$15="",ISNUMBER(SEARCH($BA$15,'All Data'!$K187&amp;" "&amp;'All Data'!$M187)))),1,0)</f>
        <v>1</v>
      </c>
      <c r="H187">
        <f t="shared" si="12"/>
        <v>0</v>
      </c>
      <c r="I187">
        <f>IF(AND($H187=1,'All Data'!$C187&lt;&gt;"",COUNTIFS($H$2:H186,1,'All Data'!$C$2:$C186,'All Data'!$C187)=0),1,0)</f>
        <v>0</v>
      </c>
      <c r="J187" t="str">
        <f>IF($I187=1,SUM($I$2:I187),"")</f>
        <v/>
      </c>
      <c r="K187">
        <f t="shared" si="13"/>
        <v>0</v>
      </c>
      <c r="L187">
        <f>IF(AND($K187=1,'All Data'!$D187&lt;&gt;"",COUNTIFS($K$2:K186,1,'All Data'!$D$2:$D186,'All Data'!$D187)=0),1,0)</f>
        <v>0</v>
      </c>
      <c r="M187" t="str">
        <f>IF($L187=1,SUM($L$2:L187),"")</f>
        <v/>
      </c>
      <c r="N187">
        <f t="shared" si="14"/>
        <v>0</v>
      </c>
      <c r="O187">
        <f>IF(AND($N187=1,'All Data'!$E187&lt;&gt;"",COUNTIFS($N$2:N186,1,'All Data'!$E$2:$E186,'All Data'!$E187)=0),1,0)</f>
        <v>0</v>
      </c>
      <c r="P187" t="str">
        <f>IF($O187=1,SUM($O$2:O187),"")</f>
        <v/>
      </c>
      <c r="Q187">
        <f t="shared" si="15"/>
        <v>0</v>
      </c>
      <c r="R187">
        <f>IF(AND($Q187=1,'All Data'!$F187&lt;&gt;"",COUNTIFS($Q$2:Q186,1,'All Data'!$F$2:$F186,'All Data'!$F187)=0),1,0)</f>
        <v>0</v>
      </c>
      <c r="S187" t="str">
        <f>IF($R187=1,SUM($R$2:R187),"")</f>
        <v/>
      </c>
      <c r="T187">
        <f t="shared" si="16"/>
        <v>0</v>
      </c>
      <c r="U187">
        <f>IF(AND($T187=1,'All Data'!$G187&lt;&gt;"",COUNTIFS($T$2:T186,1,'All Data'!$G$2:$G186,'All Data'!$G187)=0),1,0)</f>
        <v>0</v>
      </c>
      <c r="V187" t="str">
        <f>IF($U187=1,SUM($U$2:U187),"")</f>
        <v/>
      </c>
      <c r="W187">
        <f t="shared" si="17"/>
        <v>0</v>
      </c>
      <c r="X187" t="str">
        <f>IF($W187=1,SUM($W$2:W187),"")</f>
        <v/>
      </c>
    </row>
    <row r="188" spans="1:24" x14ac:dyDescent="0.3">
      <c r="A188">
        <f>IF(OR($BA1="Any",$BA1=""),1,IF('All Data'!$B188=$BA1,1,0))</f>
        <v>0</v>
      </c>
      <c r="B188">
        <f>IF(OR($BA2="Any",$BA2=""),1,IF('All Data'!$C188=$BA2,1,0))</f>
        <v>1</v>
      </c>
      <c r="C188">
        <f>IF(OR($BA3="Any",$BA3=""),1,IF('All Data'!$D188=$BA3,1,0))</f>
        <v>1</v>
      </c>
      <c r="D188">
        <f>IF(OR($BA4="Any",$BA4=""),1,IF('All Data'!$E188=$BA4,1,0))</f>
        <v>1</v>
      </c>
      <c r="E188">
        <f>IF(OR($BA5="Any",$BA5=""),1,IF('All Data'!$F188=$BA5,1,0))</f>
        <v>1</v>
      </c>
      <c r="F188">
        <f>IF(OR($BA6="Any",$BA6=""),1,IF('All Data'!$G188=$BA6,1,0))</f>
        <v>0</v>
      </c>
      <c r="G188">
        <f>IF(AND(OR($BA$8="",ISNUMBER(SEARCH($BA$8,'All Data'!$K188&amp;" "&amp;'All Data'!$M188))),OR($BA$9="",ISNUMBER(SEARCH($BA$9,'All Data'!$K188&amp;" "&amp;'All Data'!$M188))),OR($BA$10="",ISNUMBER(SEARCH($BA$10,'All Data'!$K188&amp;" "&amp;'All Data'!$M188))),OR($BA$11="",ISNUMBER(SEARCH($BA$11,'All Data'!$K188&amp;" "&amp;'All Data'!$M188))),OR($BA$12="",ISNUMBER(SEARCH($BA$12,'All Data'!$K188&amp;" "&amp;'All Data'!$M188))),OR($BA$13="",ISNUMBER(SEARCH($BA$13,'All Data'!$K188&amp;" "&amp;'All Data'!$M188))),OR($BA$14="",ISNUMBER(SEARCH($BA$14,'All Data'!$K188&amp;" "&amp;'All Data'!$M188))),OR($BA$15="",ISNUMBER(SEARCH($BA$15,'All Data'!$K188&amp;" "&amp;'All Data'!$M188)))),1,0)</f>
        <v>1</v>
      </c>
      <c r="H188">
        <f t="shared" si="12"/>
        <v>0</v>
      </c>
      <c r="I188">
        <f>IF(AND($H188=1,'All Data'!$C188&lt;&gt;"",COUNTIFS($H$2:H187,1,'All Data'!$C$2:$C187,'All Data'!$C188)=0),1,0)</f>
        <v>0</v>
      </c>
      <c r="J188" t="str">
        <f>IF($I188=1,SUM($I$2:I188),"")</f>
        <v/>
      </c>
      <c r="K188">
        <f t="shared" si="13"/>
        <v>0</v>
      </c>
      <c r="L188">
        <f>IF(AND($K188=1,'All Data'!$D188&lt;&gt;"",COUNTIFS($K$2:K187,1,'All Data'!$D$2:$D187,'All Data'!$D188)=0),1,0)</f>
        <v>0</v>
      </c>
      <c r="M188" t="str">
        <f>IF($L188=1,SUM($L$2:L188),"")</f>
        <v/>
      </c>
      <c r="N188">
        <f t="shared" si="14"/>
        <v>0</v>
      </c>
      <c r="O188">
        <f>IF(AND($N188=1,'All Data'!$E188&lt;&gt;"",COUNTIFS($N$2:N187,1,'All Data'!$E$2:$E187,'All Data'!$E188)=0),1,0)</f>
        <v>0</v>
      </c>
      <c r="P188" t="str">
        <f>IF($O188=1,SUM($O$2:O188),"")</f>
        <v/>
      </c>
      <c r="Q188">
        <f t="shared" si="15"/>
        <v>0</v>
      </c>
      <c r="R188">
        <f>IF(AND($Q188=1,'All Data'!$F188&lt;&gt;"",COUNTIFS($Q$2:Q187,1,'All Data'!$F$2:$F187,'All Data'!$F188)=0),1,0)</f>
        <v>0</v>
      </c>
      <c r="S188" t="str">
        <f>IF($R188=1,SUM($R$2:R188),"")</f>
        <v/>
      </c>
      <c r="T188">
        <f t="shared" si="16"/>
        <v>0</v>
      </c>
      <c r="U188">
        <f>IF(AND($T188=1,'All Data'!$G188&lt;&gt;"",COUNTIFS($T$2:T187,1,'All Data'!$G$2:$G187,'All Data'!$G188)=0),1,0)</f>
        <v>0</v>
      </c>
      <c r="V188" t="str">
        <f>IF($U188=1,SUM($U$2:U188),"")</f>
        <v/>
      </c>
      <c r="W188">
        <f t="shared" si="17"/>
        <v>0</v>
      </c>
      <c r="X188" t="str">
        <f>IF($W188=1,SUM($W$2:W188),"")</f>
        <v/>
      </c>
    </row>
    <row r="189" spans="1:24" x14ac:dyDescent="0.3">
      <c r="A189">
        <f>IF(OR($BA1="Any",$BA1=""),1,IF('All Data'!$B189=$BA1,1,0))</f>
        <v>0</v>
      </c>
      <c r="B189">
        <f>IF(OR($BA2="Any",$BA2=""),1,IF('All Data'!$C189=$BA2,1,0))</f>
        <v>1</v>
      </c>
      <c r="C189">
        <f>IF(OR($BA3="Any",$BA3=""),1,IF('All Data'!$D189=$BA3,1,0))</f>
        <v>1</v>
      </c>
      <c r="D189">
        <f>IF(OR($BA4="Any",$BA4=""),1,IF('All Data'!$E189=$BA4,1,0))</f>
        <v>1</v>
      </c>
      <c r="E189">
        <f>IF(OR($BA5="Any",$BA5=""),1,IF('All Data'!$F189=$BA5,1,0))</f>
        <v>1</v>
      </c>
      <c r="F189">
        <f>IF(OR($BA6="Any",$BA6=""),1,IF('All Data'!$G189=$BA6,1,0))</f>
        <v>0</v>
      </c>
      <c r="G189">
        <f>IF(AND(OR($BA$8="",ISNUMBER(SEARCH($BA$8,'All Data'!$K189&amp;" "&amp;'All Data'!$M189))),OR($BA$9="",ISNUMBER(SEARCH($BA$9,'All Data'!$K189&amp;" "&amp;'All Data'!$M189))),OR($BA$10="",ISNUMBER(SEARCH($BA$10,'All Data'!$K189&amp;" "&amp;'All Data'!$M189))),OR($BA$11="",ISNUMBER(SEARCH($BA$11,'All Data'!$K189&amp;" "&amp;'All Data'!$M189))),OR($BA$12="",ISNUMBER(SEARCH($BA$12,'All Data'!$K189&amp;" "&amp;'All Data'!$M189))),OR($BA$13="",ISNUMBER(SEARCH($BA$13,'All Data'!$K189&amp;" "&amp;'All Data'!$M189))),OR($BA$14="",ISNUMBER(SEARCH($BA$14,'All Data'!$K189&amp;" "&amp;'All Data'!$M189))),OR($BA$15="",ISNUMBER(SEARCH($BA$15,'All Data'!$K189&amp;" "&amp;'All Data'!$M189)))),1,0)</f>
        <v>1</v>
      </c>
      <c r="H189">
        <f t="shared" si="12"/>
        <v>0</v>
      </c>
      <c r="I189">
        <f>IF(AND($H189=1,'All Data'!$C189&lt;&gt;"",COUNTIFS($H$2:H188,1,'All Data'!$C$2:$C188,'All Data'!$C189)=0),1,0)</f>
        <v>0</v>
      </c>
      <c r="J189" t="str">
        <f>IF($I189=1,SUM($I$2:I189),"")</f>
        <v/>
      </c>
      <c r="K189">
        <f t="shared" si="13"/>
        <v>0</v>
      </c>
      <c r="L189">
        <f>IF(AND($K189=1,'All Data'!$D189&lt;&gt;"",COUNTIFS($K$2:K188,1,'All Data'!$D$2:$D188,'All Data'!$D189)=0),1,0)</f>
        <v>0</v>
      </c>
      <c r="M189" t="str">
        <f>IF($L189=1,SUM($L$2:L189),"")</f>
        <v/>
      </c>
      <c r="N189">
        <f t="shared" si="14"/>
        <v>0</v>
      </c>
      <c r="O189">
        <f>IF(AND($N189=1,'All Data'!$E189&lt;&gt;"",COUNTIFS($N$2:N188,1,'All Data'!$E$2:$E188,'All Data'!$E189)=0),1,0)</f>
        <v>0</v>
      </c>
      <c r="P189" t="str">
        <f>IF($O189=1,SUM($O$2:O189),"")</f>
        <v/>
      </c>
      <c r="Q189">
        <f t="shared" si="15"/>
        <v>0</v>
      </c>
      <c r="R189">
        <f>IF(AND($Q189=1,'All Data'!$F189&lt;&gt;"",COUNTIFS($Q$2:Q188,1,'All Data'!$F$2:$F188,'All Data'!$F189)=0),1,0)</f>
        <v>0</v>
      </c>
      <c r="S189" t="str">
        <f>IF($R189=1,SUM($R$2:R189),"")</f>
        <v/>
      </c>
      <c r="T189">
        <f t="shared" si="16"/>
        <v>0</v>
      </c>
      <c r="U189">
        <f>IF(AND($T189=1,'All Data'!$G189&lt;&gt;"",COUNTIFS($T$2:T188,1,'All Data'!$G$2:$G188,'All Data'!$G189)=0),1,0)</f>
        <v>0</v>
      </c>
      <c r="V189" t="str">
        <f>IF($U189=1,SUM($U$2:U189),"")</f>
        <v/>
      </c>
      <c r="W189">
        <f t="shared" si="17"/>
        <v>0</v>
      </c>
      <c r="X189" t="str">
        <f>IF($W189=1,SUM($W$2:W189),"")</f>
        <v/>
      </c>
    </row>
    <row r="190" spans="1:24" x14ac:dyDescent="0.3">
      <c r="A190">
        <f>IF(OR($BA1="Any",$BA1=""),1,IF('All Data'!$B190=$BA1,1,0))</f>
        <v>0</v>
      </c>
      <c r="B190">
        <f>IF(OR($BA2="Any",$BA2=""),1,IF('All Data'!$C190=$BA2,1,0))</f>
        <v>1</v>
      </c>
      <c r="C190">
        <f>IF(OR($BA3="Any",$BA3=""),1,IF('All Data'!$D190=$BA3,1,0))</f>
        <v>1</v>
      </c>
      <c r="D190">
        <f>IF(OR($BA4="Any",$BA4=""),1,IF('All Data'!$E190=$BA4,1,0))</f>
        <v>1</v>
      </c>
      <c r="E190">
        <f>IF(OR($BA5="Any",$BA5=""),1,IF('All Data'!$F190=$BA5,1,0))</f>
        <v>1</v>
      </c>
      <c r="F190">
        <f>IF(OR($BA6="Any",$BA6=""),1,IF('All Data'!$G190=$BA6,1,0))</f>
        <v>0</v>
      </c>
      <c r="G190">
        <f>IF(AND(OR($BA$8="",ISNUMBER(SEARCH($BA$8,'All Data'!$K190&amp;" "&amp;'All Data'!$M190))),OR($BA$9="",ISNUMBER(SEARCH($BA$9,'All Data'!$K190&amp;" "&amp;'All Data'!$M190))),OR($BA$10="",ISNUMBER(SEARCH($BA$10,'All Data'!$K190&amp;" "&amp;'All Data'!$M190))),OR($BA$11="",ISNUMBER(SEARCH($BA$11,'All Data'!$K190&amp;" "&amp;'All Data'!$M190))),OR($BA$12="",ISNUMBER(SEARCH($BA$12,'All Data'!$K190&amp;" "&amp;'All Data'!$M190))),OR($BA$13="",ISNUMBER(SEARCH($BA$13,'All Data'!$K190&amp;" "&amp;'All Data'!$M190))),OR($BA$14="",ISNUMBER(SEARCH($BA$14,'All Data'!$K190&amp;" "&amp;'All Data'!$M190))),OR($BA$15="",ISNUMBER(SEARCH($BA$15,'All Data'!$K190&amp;" "&amp;'All Data'!$M190)))),1,0)</f>
        <v>1</v>
      </c>
      <c r="H190">
        <f t="shared" si="12"/>
        <v>0</v>
      </c>
      <c r="I190">
        <f>IF(AND($H190=1,'All Data'!$C190&lt;&gt;"",COUNTIFS($H$2:H189,1,'All Data'!$C$2:$C189,'All Data'!$C190)=0),1,0)</f>
        <v>0</v>
      </c>
      <c r="J190" t="str">
        <f>IF($I190=1,SUM($I$2:I190),"")</f>
        <v/>
      </c>
      <c r="K190">
        <f t="shared" si="13"/>
        <v>0</v>
      </c>
      <c r="L190">
        <f>IF(AND($K190=1,'All Data'!$D190&lt;&gt;"",COUNTIFS($K$2:K189,1,'All Data'!$D$2:$D189,'All Data'!$D190)=0),1,0)</f>
        <v>0</v>
      </c>
      <c r="M190" t="str">
        <f>IF($L190=1,SUM($L$2:L190),"")</f>
        <v/>
      </c>
      <c r="N190">
        <f t="shared" si="14"/>
        <v>0</v>
      </c>
      <c r="O190">
        <f>IF(AND($N190=1,'All Data'!$E190&lt;&gt;"",COUNTIFS($N$2:N189,1,'All Data'!$E$2:$E189,'All Data'!$E190)=0),1,0)</f>
        <v>0</v>
      </c>
      <c r="P190" t="str">
        <f>IF($O190=1,SUM($O$2:O190),"")</f>
        <v/>
      </c>
      <c r="Q190">
        <f t="shared" si="15"/>
        <v>0</v>
      </c>
      <c r="R190">
        <f>IF(AND($Q190=1,'All Data'!$F190&lt;&gt;"",COUNTIFS($Q$2:Q189,1,'All Data'!$F$2:$F189,'All Data'!$F190)=0),1,0)</f>
        <v>0</v>
      </c>
      <c r="S190" t="str">
        <f>IF($R190=1,SUM($R$2:R190),"")</f>
        <v/>
      </c>
      <c r="T190">
        <f t="shared" si="16"/>
        <v>0</v>
      </c>
      <c r="U190">
        <f>IF(AND($T190=1,'All Data'!$G190&lt;&gt;"",COUNTIFS($T$2:T189,1,'All Data'!$G$2:$G189,'All Data'!$G190)=0),1,0)</f>
        <v>0</v>
      </c>
      <c r="V190" t="str">
        <f>IF($U190=1,SUM($U$2:U190),"")</f>
        <v/>
      </c>
      <c r="W190">
        <f t="shared" si="17"/>
        <v>0</v>
      </c>
      <c r="X190" t="str">
        <f>IF($W190=1,SUM($W$2:W190),"")</f>
        <v/>
      </c>
    </row>
    <row r="191" spans="1:24" x14ac:dyDescent="0.3">
      <c r="A191">
        <f>IF(OR($BA1="Any",$BA1=""),1,IF('All Data'!$B191=$BA1,1,0))</f>
        <v>0</v>
      </c>
      <c r="B191">
        <f>IF(OR($BA2="Any",$BA2=""),1,IF('All Data'!$C191=$BA2,1,0))</f>
        <v>1</v>
      </c>
      <c r="C191">
        <f>IF(OR($BA3="Any",$BA3=""),1,IF('All Data'!$D191=$BA3,1,0))</f>
        <v>1</v>
      </c>
      <c r="D191">
        <f>IF(OR($BA4="Any",$BA4=""),1,IF('All Data'!$E191=$BA4,1,0))</f>
        <v>1</v>
      </c>
      <c r="E191">
        <f>IF(OR($BA5="Any",$BA5=""),1,IF('All Data'!$F191=$BA5,1,0))</f>
        <v>1</v>
      </c>
      <c r="F191">
        <f>IF(OR($BA6="Any",$BA6=""),1,IF('All Data'!$G191=$BA6,1,0))</f>
        <v>0</v>
      </c>
      <c r="G191">
        <f>IF(AND(OR($BA$8="",ISNUMBER(SEARCH($BA$8,'All Data'!$K191&amp;" "&amp;'All Data'!$M191))),OR($BA$9="",ISNUMBER(SEARCH($BA$9,'All Data'!$K191&amp;" "&amp;'All Data'!$M191))),OR($BA$10="",ISNUMBER(SEARCH($BA$10,'All Data'!$K191&amp;" "&amp;'All Data'!$M191))),OR($BA$11="",ISNUMBER(SEARCH($BA$11,'All Data'!$K191&amp;" "&amp;'All Data'!$M191))),OR($BA$12="",ISNUMBER(SEARCH($BA$12,'All Data'!$K191&amp;" "&amp;'All Data'!$M191))),OR($BA$13="",ISNUMBER(SEARCH($BA$13,'All Data'!$K191&amp;" "&amp;'All Data'!$M191))),OR($BA$14="",ISNUMBER(SEARCH($BA$14,'All Data'!$K191&amp;" "&amp;'All Data'!$M191))),OR($BA$15="",ISNUMBER(SEARCH($BA$15,'All Data'!$K191&amp;" "&amp;'All Data'!$M191)))),1,0)</f>
        <v>1</v>
      </c>
      <c r="H191">
        <f t="shared" si="12"/>
        <v>0</v>
      </c>
      <c r="I191">
        <f>IF(AND($H191=1,'All Data'!$C191&lt;&gt;"",COUNTIFS($H$2:H190,1,'All Data'!$C$2:$C190,'All Data'!$C191)=0),1,0)</f>
        <v>0</v>
      </c>
      <c r="J191" t="str">
        <f>IF($I191=1,SUM($I$2:I191),"")</f>
        <v/>
      </c>
      <c r="K191">
        <f t="shared" si="13"/>
        <v>0</v>
      </c>
      <c r="L191">
        <f>IF(AND($K191=1,'All Data'!$D191&lt;&gt;"",COUNTIFS($K$2:K190,1,'All Data'!$D$2:$D190,'All Data'!$D191)=0),1,0)</f>
        <v>0</v>
      </c>
      <c r="M191" t="str">
        <f>IF($L191=1,SUM($L$2:L191),"")</f>
        <v/>
      </c>
      <c r="N191">
        <f t="shared" si="14"/>
        <v>0</v>
      </c>
      <c r="O191">
        <f>IF(AND($N191=1,'All Data'!$E191&lt;&gt;"",COUNTIFS($N$2:N190,1,'All Data'!$E$2:$E190,'All Data'!$E191)=0),1,0)</f>
        <v>0</v>
      </c>
      <c r="P191" t="str">
        <f>IF($O191=1,SUM($O$2:O191),"")</f>
        <v/>
      </c>
      <c r="Q191">
        <f t="shared" si="15"/>
        <v>0</v>
      </c>
      <c r="R191">
        <f>IF(AND($Q191=1,'All Data'!$F191&lt;&gt;"",COUNTIFS($Q$2:Q190,1,'All Data'!$F$2:$F190,'All Data'!$F191)=0),1,0)</f>
        <v>0</v>
      </c>
      <c r="S191" t="str">
        <f>IF($R191=1,SUM($R$2:R191),"")</f>
        <v/>
      </c>
      <c r="T191">
        <f t="shared" si="16"/>
        <v>0</v>
      </c>
      <c r="U191">
        <f>IF(AND($T191=1,'All Data'!$G191&lt;&gt;"",COUNTIFS($T$2:T190,1,'All Data'!$G$2:$G190,'All Data'!$G191)=0),1,0)</f>
        <v>0</v>
      </c>
      <c r="V191" t="str">
        <f>IF($U191=1,SUM($U$2:U191),"")</f>
        <v/>
      </c>
      <c r="W191">
        <f t="shared" si="17"/>
        <v>0</v>
      </c>
      <c r="X191" t="str">
        <f>IF($W191=1,SUM($W$2:W191),"")</f>
        <v/>
      </c>
    </row>
    <row r="192" spans="1:24" x14ac:dyDescent="0.3">
      <c r="A192">
        <f>IF(OR($BA1="Any",$BA1=""),1,IF('All Data'!$B192=$BA1,1,0))</f>
        <v>0</v>
      </c>
      <c r="B192">
        <f>IF(OR($BA2="Any",$BA2=""),1,IF('All Data'!$C192=$BA2,1,0))</f>
        <v>1</v>
      </c>
      <c r="C192">
        <f>IF(OR($BA3="Any",$BA3=""),1,IF('All Data'!$D192=$BA3,1,0))</f>
        <v>1</v>
      </c>
      <c r="D192">
        <f>IF(OR($BA4="Any",$BA4=""),1,IF('All Data'!$E192=$BA4,1,0))</f>
        <v>1</v>
      </c>
      <c r="E192">
        <f>IF(OR($BA5="Any",$BA5=""),1,IF('All Data'!$F192=$BA5,1,0))</f>
        <v>1</v>
      </c>
      <c r="F192">
        <f>IF(OR($BA6="Any",$BA6=""),1,IF('All Data'!$G192=$BA6,1,0))</f>
        <v>0</v>
      </c>
      <c r="G192">
        <f>IF(AND(OR($BA$8="",ISNUMBER(SEARCH($BA$8,'All Data'!$K192&amp;" "&amp;'All Data'!$M192))),OR($BA$9="",ISNUMBER(SEARCH($BA$9,'All Data'!$K192&amp;" "&amp;'All Data'!$M192))),OR($BA$10="",ISNUMBER(SEARCH($BA$10,'All Data'!$K192&amp;" "&amp;'All Data'!$M192))),OR($BA$11="",ISNUMBER(SEARCH($BA$11,'All Data'!$K192&amp;" "&amp;'All Data'!$M192))),OR($BA$12="",ISNUMBER(SEARCH($BA$12,'All Data'!$K192&amp;" "&amp;'All Data'!$M192))),OR($BA$13="",ISNUMBER(SEARCH($BA$13,'All Data'!$K192&amp;" "&amp;'All Data'!$M192))),OR($BA$14="",ISNUMBER(SEARCH($BA$14,'All Data'!$K192&amp;" "&amp;'All Data'!$M192))),OR($BA$15="",ISNUMBER(SEARCH($BA$15,'All Data'!$K192&amp;" "&amp;'All Data'!$M192)))),1,0)</f>
        <v>1</v>
      </c>
      <c r="H192">
        <f t="shared" si="12"/>
        <v>0</v>
      </c>
      <c r="I192">
        <f>IF(AND($H192=1,'All Data'!$C192&lt;&gt;"",COUNTIFS($H$2:H191,1,'All Data'!$C$2:$C191,'All Data'!$C192)=0),1,0)</f>
        <v>0</v>
      </c>
      <c r="J192" t="str">
        <f>IF($I192=1,SUM($I$2:I192),"")</f>
        <v/>
      </c>
      <c r="K192">
        <f t="shared" si="13"/>
        <v>0</v>
      </c>
      <c r="L192">
        <f>IF(AND($K192=1,'All Data'!$D192&lt;&gt;"",COUNTIFS($K$2:K191,1,'All Data'!$D$2:$D191,'All Data'!$D192)=0),1,0)</f>
        <v>0</v>
      </c>
      <c r="M192" t="str">
        <f>IF($L192=1,SUM($L$2:L192),"")</f>
        <v/>
      </c>
      <c r="N192">
        <f t="shared" si="14"/>
        <v>0</v>
      </c>
      <c r="O192">
        <f>IF(AND($N192=1,'All Data'!$E192&lt;&gt;"",COUNTIFS($N$2:N191,1,'All Data'!$E$2:$E191,'All Data'!$E192)=0),1,0)</f>
        <v>0</v>
      </c>
      <c r="P192" t="str">
        <f>IF($O192=1,SUM($O$2:O192),"")</f>
        <v/>
      </c>
      <c r="Q192">
        <f t="shared" si="15"/>
        <v>0</v>
      </c>
      <c r="R192">
        <f>IF(AND($Q192=1,'All Data'!$F192&lt;&gt;"",COUNTIFS($Q$2:Q191,1,'All Data'!$F$2:$F191,'All Data'!$F192)=0),1,0)</f>
        <v>0</v>
      </c>
      <c r="S192" t="str">
        <f>IF($R192=1,SUM($R$2:R192),"")</f>
        <v/>
      </c>
      <c r="T192">
        <f t="shared" si="16"/>
        <v>0</v>
      </c>
      <c r="U192">
        <f>IF(AND($T192=1,'All Data'!$G192&lt;&gt;"",COUNTIFS($T$2:T191,1,'All Data'!$G$2:$G191,'All Data'!$G192)=0),1,0)</f>
        <v>0</v>
      </c>
      <c r="V192" t="str">
        <f>IF($U192=1,SUM($U$2:U192),"")</f>
        <v/>
      </c>
      <c r="W192">
        <f t="shared" si="17"/>
        <v>0</v>
      </c>
      <c r="X192" t="str">
        <f>IF($W192=1,SUM($W$2:W192),"")</f>
        <v/>
      </c>
    </row>
    <row r="193" spans="1:24" x14ac:dyDescent="0.3">
      <c r="A193">
        <f>IF(OR($BA1="Any",$BA1=""),1,IF('All Data'!$B193=$BA1,1,0))</f>
        <v>0</v>
      </c>
      <c r="B193">
        <f>IF(OR($BA2="Any",$BA2=""),1,IF('All Data'!$C193=$BA2,1,0))</f>
        <v>1</v>
      </c>
      <c r="C193">
        <f>IF(OR($BA3="Any",$BA3=""),1,IF('All Data'!$D193=$BA3,1,0))</f>
        <v>1</v>
      </c>
      <c r="D193">
        <f>IF(OR($BA4="Any",$BA4=""),1,IF('All Data'!$E193=$BA4,1,0))</f>
        <v>1</v>
      </c>
      <c r="E193">
        <f>IF(OR($BA5="Any",$BA5=""),1,IF('All Data'!$F193=$BA5,1,0))</f>
        <v>1</v>
      </c>
      <c r="F193">
        <f>IF(OR($BA6="Any",$BA6=""),1,IF('All Data'!$G193=$BA6,1,0))</f>
        <v>0</v>
      </c>
      <c r="G193">
        <f>IF(AND(OR($BA$8="",ISNUMBER(SEARCH($BA$8,'All Data'!$K193&amp;" "&amp;'All Data'!$M193))),OR($BA$9="",ISNUMBER(SEARCH($BA$9,'All Data'!$K193&amp;" "&amp;'All Data'!$M193))),OR($BA$10="",ISNUMBER(SEARCH($BA$10,'All Data'!$K193&amp;" "&amp;'All Data'!$M193))),OR($BA$11="",ISNUMBER(SEARCH($BA$11,'All Data'!$K193&amp;" "&amp;'All Data'!$M193))),OR($BA$12="",ISNUMBER(SEARCH($BA$12,'All Data'!$K193&amp;" "&amp;'All Data'!$M193))),OR($BA$13="",ISNUMBER(SEARCH($BA$13,'All Data'!$K193&amp;" "&amp;'All Data'!$M193))),OR($BA$14="",ISNUMBER(SEARCH($BA$14,'All Data'!$K193&amp;" "&amp;'All Data'!$M193))),OR($BA$15="",ISNUMBER(SEARCH($BA$15,'All Data'!$K193&amp;" "&amp;'All Data'!$M193)))),1,0)</f>
        <v>1</v>
      </c>
      <c r="H193">
        <f t="shared" si="12"/>
        <v>0</v>
      </c>
      <c r="I193">
        <f>IF(AND($H193=1,'All Data'!$C193&lt;&gt;"",COUNTIFS($H$2:H192,1,'All Data'!$C$2:$C192,'All Data'!$C193)=0),1,0)</f>
        <v>0</v>
      </c>
      <c r="J193" t="str">
        <f>IF($I193=1,SUM($I$2:I193),"")</f>
        <v/>
      </c>
      <c r="K193">
        <f t="shared" si="13"/>
        <v>0</v>
      </c>
      <c r="L193">
        <f>IF(AND($K193=1,'All Data'!$D193&lt;&gt;"",COUNTIFS($K$2:K192,1,'All Data'!$D$2:$D192,'All Data'!$D193)=0),1,0)</f>
        <v>0</v>
      </c>
      <c r="M193" t="str">
        <f>IF($L193=1,SUM($L$2:L193),"")</f>
        <v/>
      </c>
      <c r="N193">
        <f t="shared" si="14"/>
        <v>0</v>
      </c>
      <c r="O193">
        <f>IF(AND($N193=1,'All Data'!$E193&lt;&gt;"",COUNTIFS($N$2:N192,1,'All Data'!$E$2:$E192,'All Data'!$E193)=0),1,0)</f>
        <v>0</v>
      </c>
      <c r="P193" t="str">
        <f>IF($O193=1,SUM($O$2:O193),"")</f>
        <v/>
      </c>
      <c r="Q193">
        <f t="shared" si="15"/>
        <v>0</v>
      </c>
      <c r="R193">
        <f>IF(AND($Q193=1,'All Data'!$F193&lt;&gt;"",COUNTIFS($Q$2:Q192,1,'All Data'!$F$2:$F192,'All Data'!$F193)=0),1,0)</f>
        <v>0</v>
      </c>
      <c r="S193" t="str">
        <f>IF($R193=1,SUM($R$2:R193),"")</f>
        <v/>
      </c>
      <c r="T193">
        <f t="shared" si="16"/>
        <v>0</v>
      </c>
      <c r="U193">
        <f>IF(AND($T193=1,'All Data'!$G193&lt;&gt;"",COUNTIFS($T$2:T192,1,'All Data'!$G$2:$G192,'All Data'!$G193)=0),1,0)</f>
        <v>0</v>
      </c>
      <c r="V193" t="str">
        <f>IF($U193=1,SUM($U$2:U193),"")</f>
        <v/>
      </c>
      <c r="W193">
        <f t="shared" si="17"/>
        <v>0</v>
      </c>
      <c r="X193" t="str">
        <f>IF($W193=1,SUM($W$2:W193),"")</f>
        <v/>
      </c>
    </row>
    <row r="194" spans="1:24" x14ac:dyDescent="0.3">
      <c r="A194">
        <f>IF(OR($BA1="Any",$BA1=""),1,IF('All Data'!$B194=$BA1,1,0))</f>
        <v>0</v>
      </c>
      <c r="B194">
        <f>IF(OR($BA2="Any",$BA2=""),1,IF('All Data'!$C194=$BA2,1,0))</f>
        <v>1</v>
      </c>
      <c r="C194">
        <f>IF(OR($BA3="Any",$BA3=""),1,IF('All Data'!$D194=$BA3,1,0))</f>
        <v>1</v>
      </c>
      <c r="D194">
        <f>IF(OR($BA4="Any",$BA4=""),1,IF('All Data'!$E194=$BA4,1,0))</f>
        <v>1</v>
      </c>
      <c r="E194">
        <f>IF(OR($BA5="Any",$BA5=""),1,IF('All Data'!$F194=$BA5,1,0))</f>
        <v>1</v>
      </c>
      <c r="F194">
        <f>IF(OR($BA6="Any",$BA6=""),1,IF('All Data'!$G194=$BA6,1,0))</f>
        <v>0</v>
      </c>
      <c r="G194">
        <f>IF(AND(OR($BA$8="",ISNUMBER(SEARCH($BA$8,'All Data'!$K194&amp;" "&amp;'All Data'!$M194))),OR($BA$9="",ISNUMBER(SEARCH($BA$9,'All Data'!$K194&amp;" "&amp;'All Data'!$M194))),OR($BA$10="",ISNUMBER(SEARCH($BA$10,'All Data'!$K194&amp;" "&amp;'All Data'!$M194))),OR($BA$11="",ISNUMBER(SEARCH($BA$11,'All Data'!$K194&amp;" "&amp;'All Data'!$M194))),OR($BA$12="",ISNUMBER(SEARCH($BA$12,'All Data'!$K194&amp;" "&amp;'All Data'!$M194))),OR($BA$13="",ISNUMBER(SEARCH($BA$13,'All Data'!$K194&amp;" "&amp;'All Data'!$M194))),OR($BA$14="",ISNUMBER(SEARCH($BA$14,'All Data'!$K194&amp;" "&amp;'All Data'!$M194))),OR($BA$15="",ISNUMBER(SEARCH($BA$15,'All Data'!$K194&amp;" "&amp;'All Data'!$M194)))),1,0)</f>
        <v>1</v>
      </c>
      <c r="H194">
        <f t="shared" ref="H194:H257" si="18">$A194</f>
        <v>0</v>
      </c>
      <c r="I194">
        <f>IF(AND($H194=1,'All Data'!$C194&lt;&gt;"",COUNTIFS($H$2:H193,1,'All Data'!$C$2:$C193,'All Data'!$C194)=0),1,0)</f>
        <v>0</v>
      </c>
      <c r="J194" t="str">
        <f>IF($I194=1,SUM($I$2:I194),"")</f>
        <v/>
      </c>
      <c r="K194">
        <f t="shared" ref="K194:K257" si="19">$A194*$B194</f>
        <v>0</v>
      </c>
      <c r="L194">
        <f>IF(AND($K194=1,'All Data'!$D194&lt;&gt;"",COUNTIFS($K$2:K193,1,'All Data'!$D$2:$D193,'All Data'!$D194)=0),1,0)</f>
        <v>0</v>
      </c>
      <c r="M194" t="str">
        <f>IF($L194=1,SUM($L$2:L194),"")</f>
        <v/>
      </c>
      <c r="N194">
        <f t="shared" ref="N194:N257" si="20">$A194*$B194*$C194</f>
        <v>0</v>
      </c>
      <c r="O194">
        <f>IF(AND($N194=1,'All Data'!$E194&lt;&gt;"",COUNTIFS($N$2:N193,1,'All Data'!$E$2:$E193,'All Data'!$E194)=0),1,0)</f>
        <v>0</v>
      </c>
      <c r="P194" t="str">
        <f>IF($O194=1,SUM($O$2:O194),"")</f>
        <v/>
      </c>
      <c r="Q194">
        <f t="shared" ref="Q194:Q257" si="21">$A194*$B194*$C194*$D194</f>
        <v>0</v>
      </c>
      <c r="R194">
        <f>IF(AND($Q194=1,'All Data'!$F194&lt;&gt;"",COUNTIFS($Q$2:Q193,1,'All Data'!$F$2:$F193,'All Data'!$F194)=0),1,0)</f>
        <v>0</v>
      </c>
      <c r="S194" t="str">
        <f>IF($R194=1,SUM($R$2:R194),"")</f>
        <v/>
      </c>
      <c r="T194">
        <f t="shared" ref="T194:T257" si="22">$A194*$B194*$C194*$D194*$E194</f>
        <v>0</v>
      </c>
      <c r="U194">
        <f>IF(AND($T194=1,'All Data'!$G194&lt;&gt;"",COUNTIFS($T$2:T193,1,'All Data'!$G$2:$G193,'All Data'!$G194)=0),1,0)</f>
        <v>0</v>
      </c>
      <c r="V194" t="str">
        <f>IF($U194=1,SUM($U$2:U194),"")</f>
        <v/>
      </c>
      <c r="W194">
        <f t="shared" ref="W194:W257" si="23">$A194*$B194*$C194*$D194*$E194*$F194*$G194</f>
        <v>0</v>
      </c>
      <c r="X194" t="str">
        <f>IF($W194=1,SUM($W$2:W194),"")</f>
        <v/>
      </c>
    </row>
    <row r="195" spans="1:24" x14ac:dyDescent="0.3">
      <c r="A195">
        <f>IF(OR($BA1="Any",$BA1=""),1,IF('All Data'!$B195=$BA1,1,0))</f>
        <v>0</v>
      </c>
      <c r="B195">
        <f>IF(OR($BA2="Any",$BA2=""),1,IF('All Data'!$C195=$BA2,1,0))</f>
        <v>1</v>
      </c>
      <c r="C195">
        <f>IF(OR($BA3="Any",$BA3=""),1,IF('All Data'!$D195=$BA3,1,0))</f>
        <v>1</v>
      </c>
      <c r="D195">
        <f>IF(OR($BA4="Any",$BA4=""),1,IF('All Data'!$E195=$BA4,1,0))</f>
        <v>1</v>
      </c>
      <c r="E195">
        <f>IF(OR($BA5="Any",$BA5=""),1,IF('All Data'!$F195=$BA5,1,0))</f>
        <v>1</v>
      </c>
      <c r="F195">
        <f>IF(OR($BA6="Any",$BA6=""),1,IF('All Data'!$G195=$BA6,1,0))</f>
        <v>0</v>
      </c>
      <c r="G195">
        <f>IF(AND(OR($BA$8="",ISNUMBER(SEARCH($BA$8,'All Data'!$K195&amp;" "&amp;'All Data'!$M195))),OR($BA$9="",ISNUMBER(SEARCH($BA$9,'All Data'!$K195&amp;" "&amp;'All Data'!$M195))),OR($BA$10="",ISNUMBER(SEARCH($BA$10,'All Data'!$K195&amp;" "&amp;'All Data'!$M195))),OR($BA$11="",ISNUMBER(SEARCH($BA$11,'All Data'!$K195&amp;" "&amp;'All Data'!$M195))),OR($BA$12="",ISNUMBER(SEARCH($BA$12,'All Data'!$K195&amp;" "&amp;'All Data'!$M195))),OR($BA$13="",ISNUMBER(SEARCH($BA$13,'All Data'!$K195&amp;" "&amp;'All Data'!$M195))),OR($BA$14="",ISNUMBER(SEARCH($BA$14,'All Data'!$K195&amp;" "&amp;'All Data'!$M195))),OR($BA$15="",ISNUMBER(SEARCH($BA$15,'All Data'!$K195&amp;" "&amp;'All Data'!$M195)))),1,0)</f>
        <v>1</v>
      </c>
      <c r="H195">
        <f t="shared" si="18"/>
        <v>0</v>
      </c>
      <c r="I195">
        <f>IF(AND($H195=1,'All Data'!$C195&lt;&gt;"",COUNTIFS($H$2:H194,1,'All Data'!$C$2:$C194,'All Data'!$C195)=0),1,0)</f>
        <v>0</v>
      </c>
      <c r="J195" t="str">
        <f>IF($I195=1,SUM($I$2:I195),"")</f>
        <v/>
      </c>
      <c r="K195">
        <f t="shared" si="19"/>
        <v>0</v>
      </c>
      <c r="L195">
        <f>IF(AND($K195=1,'All Data'!$D195&lt;&gt;"",COUNTIFS($K$2:K194,1,'All Data'!$D$2:$D194,'All Data'!$D195)=0),1,0)</f>
        <v>0</v>
      </c>
      <c r="M195" t="str">
        <f>IF($L195=1,SUM($L$2:L195),"")</f>
        <v/>
      </c>
      <c r="N195">
        <f t="shared" si="20"/>
        <v>0</v>
      </c>
      <c r="O195">
        <f>IF(AND($N195=1,'All Data'!$E195&lt;&gt;"",COUNTIFS($N$2:N194,1,'All Data'!$E$2:$E194,'All Data'!$E195)=0),1,0)</f>
        <v>0</v>
      </c>
      <c r="P195" t="str">
        <f>IF($O195=1,SUM($O$2:O195),"")</f>
        <v/>
      </c>
      <c r="Q195">
        <f t="shared" si="21"/>
        <v>0</v>
      </c>
      <c r="R195">
        <f>IF(AND($Q195=1,'All Data'!$F195&lt;&gt;"",COUNTIFS($Q$2:Q194,1,'All Data'!$F$2:$F194,'All Data'!$F195)=0),1,0)</f>
        <v>0</v>
      </c>
      <c r="S195" t="str">
        <f>IF($R195=1,SUM($R$2:R195),"")</f>
        <v/>
      </c>
      <c r="T195">
        <f t="shared" si="22"/>
        <v>0</v>
      </c>
      <c r="U195">
        <f>IF(AND($T195=1,'All Data'!$G195&lt;&gt;"",COUNTIFS($T$2:T194,1,'All Data'!$G$2:$G194,'All Data'!$G195)=0),1,0)</f>
        <v>0</v>
      </c>
      <c r="V195" t="str">
        <f>IF($U195=1,SUM($U$2:U195),"")</f>
        <v/>
      </c>
      <c r="W195">
        <f t="shared" si="23"/>
        <v>0</v>
      </c>
      <c r="X195" t="str">
        <f>IF($W195=1,SUM($W$2:W195),"")</f>
        <v/>
      </c>
    </row>
    <row r="196" spans="1:24" x14ac:dyDescent="0.3">
      <c r="A196">
        <f>IF(OR($BA1="Any",$BA1=""),1,IF('All Data'!$B196=$BA1,1,0))</f>
        <v>0</v>
      </c>
      <c r="B196">
        <f>IF(OR($BA2="Any",$BA2=""),1,IF('All Data'!$C196=$BA2,1,0))</f>
        <v>1</v>
      </c>
      <c r="C196">
        <f>IF(OR($BA3="Any",$BA3=""),1,IF('All Data'!$D196=$BA3,1,0))</f>
        <v>1</v>
      </c>
      <c r="D196">
        <f>IF(OR($BA4="Any",$BA4=""),1,IF('All Data'!$E196=$BA4,1,0))</f>
        <v>1</v>
      </c>
      <c r="E196">
        <f>IF(OR($BA5="Any",$BA5=""),1,IF('All Data'!$F196=$BA5,1,0))</f>
        <v>1</v>
      </c>
      <c r="F196">
        <f>IF(OR($BA6="Any",$BA6=""),1,IF('All Data'!$G196=$BA6,1,0))</f>
        <v>1</v>
      </c>
      <c r="G196">
        <f>IF(AND(OR($BA$8="",ISNUMBER(SEARCH($BA$8,'All Data'!$K196&amp;" "&amp;'All Data'!$M196))),OR($BA$9="",ISNUMBER(SEARCH($BA$9,'All Data'!$K196&amp;" "&amp;'All Data'!$M196))),OR($BA$10="",ISNUMBER(SEARCH($BA$10,'All Data'!$K196&amp;" "&amp;'All Data'!$M196))),OR($BA$11="",ISNUMBER(SEARCH($BA$11,'All Data'!$K196&amp;" "&amp;'All Data'!$M196))),OR($BA$12="",ISNUMBER(SEARCH($BA$12,'All Data'!$K196&amp;" "&amp;'All Data'!$M196))),OR($BA$13="",ISNUMBER(SEARCH($BA$13,'All Data'!$K196&amp;" "&amp;'All Data'!$M196))),OR($BA$14="",ISNUMBER(SEARCH($BA$14,'All Data'!$K196&amp;" "&amp;'All Data'!$M196))),OR($BA$15="",ISNUMBER(SEARCH($BA$15,'All Data'!$K196&amp;" "&amp;'All Data'!$M196)))),1,0)</f>
        <v>1</v>
      </c>
      <c r="H196">
        <f t="shared" si="18"/>
        <v>0</v>
      </c>
      <c r="I196">
        <f>IF(AND($H196=1,'All Data'!$C196&lt;&gt;"",COUNTIFS($H$2:H195,1,'All Data'!$C$2:$C195,'All Data'!$C196)=0),1,0)</f>
        <v>0</v>
      </c>
      <c r="J196" t="str">
        <f>IF($I196=1,SUM($I$2:I196),"")</f>
        <v/>
      </c>
      <c r="K196">
        <f t="shared" si="19"/>
        <v>0</v>
      </c>
      <c r="L196">
        <f>IF(AND($K196=1,'All Data'!$D196&lt;&gt;"",COUNTIFS($K$2:K195,1,'All Data'!$D$2:$D195,'All Data'!$D196)=0),1,0)</f>
        <v>0</v>
      </c>
      <c r="M196" t="str">
        <f>IF($L196=1,SUM($L$2:L196),"")</f>
        <v/>
      </c>
      <c r="N196">
        <f t="shared" si="20"/>
        <v>0</v>
      </c>
      <c r="O196">
        <f>IF(AND($N196=1,'All Data'!$E196&lt;&gt;"",COUNTIFS($N$2:N195,1,'All Data'!$E$2:$E195,'All Data'!$E196)=0),1,0)</f>
        <v>0</v>
      </c>
      <c r="P196" t="str">
        <f>IF($O196=1,SUM($O$2:O196),"")</f>
        <v/>
      </c>
      <c r="Q196">
        <f t="shared" si="21"/>
        <v>0</v>
      </c>
      <c r="R196">
        <f>IF(AND($Q196=1,'All Data'!$F196&lt;&gt;"",COUNTIFS($Q$2:Q195,1,'All Data'!$F$2:$F195,'All Data'!$F196)=0),1,0)</f>
        <v>0</v>
      </c>
      <c r="S196" t="str">
        <f>IF($R196=1,SUM($R$2:R196),"")</f>
        <v/>
      </c>
      <c r="T196">
        <f t="shared" si="22"/>
        <v>0</v>
      </c>
      <c r="U196">
        <f>IF(AND($T196=1,'All Data'!$G196&lt;&gt;"",COUNTIFS($T$2:T195,1,'All Data'!$G$2:$G195,'All Data'!$G196)=0),1,0)</f>
        <v>0</v>
      </c>
      <c r="V196" t="str">
        <f>IF($U196=1,SUM($U$2:U196),"")</f>
        <v/>
      </c>
      <c r="W196">
        <f t="shared" si="23"/>
        <v>0</v>
      </c>
      <c r="X196" t="str">
        <f>IF($W196=1,SUM($W$2:W196),"")</f>
        <v/>
      </c>
    </row>
    <row r="197" spans="1:24" x14ac:dyDescent="0.3">
      <c r="A197">
        <f>IF(OR($BA1="Any",$BA1=""),1,IF('All Data'!$B197=$BA1,1,0))</f>
        <v>0</v>
      </c>
      <c r="B197">
        <f>IF(OR($BA2="Any",$BA2=""),1,IF('All Data'!$C197=$BA2,1,0))</f>
        <v>1</v>
      </c>
      <c r="C197">
        <f>IF(OR($BA3="Any",$BA3=""),1,IF('All Data'!$D197=$BA3,1,0))</f>
        <v>1</v>
      </c>
      <c r="D197">
        <f>IF(OR($BA4="Any",$BA4=""),1,IF('All Data'!$E197=$BA4,1,0))</f>
        <v>1</v>
      </c>
      <c r="E197">
        <f>IF(OR($BA5="Any",$BA5=""),1,IF('All Data'!$F197=$BA5,1,0))</f>
        <v>1</v>
      </c>
      <c r="F197">
        <f>IF(OR($BA6="Any",$BA6=""),1,IF('All Data'!$G197=$BA6,1,0))</f>
        <v>0</v>
      </c>
      <c r="G197">
        <f>IF(AND(OR($BA$8="",ISNUMBER(SEARCH($BA$8,'All Data'!$K197&amp;" "&amp;'All Data'!$M197))),OR($BA$9="",ISNUMBER(SEARCH($BA$9,'All Data'!$K197&amp;" "&amp;'All Data'!$M197))),OR($BA$10="",ISNUMBER(SEARCH($BA$10,'All Data'!$K197&amp;" "&amp;'All Data'!$M197))),OR($BA$11="",ISNUMBER(SEARCH($BA$11,'All Data'!$K197&amp;" "&amp;'All Data'!$M197))),OR($BA$12="",ISNUMBER(SEARCH($BA$12,'All Data'!$K197&amp;" "&amp;'All Data'!$M197))),OR($BA$13="",ISNUMBER(SEARCH($BA$13,'All Data'!$K197&amp;" "&amp;'All Data'!$M197))),OR($BA$14="",ISNUMBER(SEARCH($BA$14,'All Data'!$K197&amp;" "&amp;'All Data'!$M197))),OR($BA$15="",ISNUMBER(SEARCH($BA$15,'All Data'!$K197&amp;" "&amp;'All Data'!$M197)))),1,0)</f>
        <v>1</v>
      </c>
      <c r="H197">
        <f t="shared" si="18"/>
        <v>0</v>
      </c>
      <c r="I197">
        <f>IF(AND($H197=1,'All Data'!$C197&lt;&gt;"",COUNTIFS($H$2:H196,1,'All Data'!$C$2:$C196,'All Data'!$C197)=0),1,0)</f>
        <v>0</v>
      </c>
      <c r="J197" t="str">
        <f>IF($I197=1,SUM($I$2:I197),"")</f>
        <v/>
      </c>
      <c r="K197">
        <f t="shared" si="19"/>
        <v>0</v>
      </c>
      <c r="L197">
        <f>IF(AND($K197=1,'All Data'!$D197&lt;&gt;"",COUNTIFS($K$2:K196,1,'All Data'!$D$2:$D196,'All Data'!$D197)=0),1,0)</f>
        <v>0</v>
      </c>
      <c r="M197" t="str">
        <f>IF($L197=1,SUM($L$2:L197),"")</f>
        <v/>
      </c>
      <c r="N197">
        <f t="shared" si="20"/>
        <v>0</v>
      </c>
      <c r="O197">
        <f>IF(AND($N197=1,'All Data'!$E197&lt;&gt;"",COUNTIFS($N$2:N196,1,'All Data'!$E$2:$E196,'All Data'!$E197)=0),1,0)</f>
        <v>0</v>
      </c>
      <c r="P197" t="str">
        <f>IF($O197=1,SUM($O$2:O197),"")</f>
        <v/>
      </c>
      <c r="Q197">
        <f t="shared" si="21"/>
        <v>0</v>
      </c>
      <c r="R197">
        <f>IF(AND($Q197=1,'All Data'!$F197&lt;&gt;"",COUNTIFS($Q$2:Q196,1,'All Data'!$F$2:$F196,'All Data'!$F197)=0),1,0)</f>
        <v>0</v>
      </c>
      <c r="S197" t="str">
        <f>IF($R197=1,SUM($R$2:R197),"")</f>
        <v/>
      </c>
      <c r="T197">
        <f t="shared" si="22"/>
        <v>0</v>
      </c>
      <c r="U197">
        <f>IF(AND($T197=1,'All Data'!$G197&lt;&gt;"",COUNTIFS($T$2:T196,1,'All Data'!$G$2:$G196,'All Data'!$G197)=0),1,0)</f>
        <v>0</v>
      </c>
      <c r="V197" t="str">
        <f>IF($U197=1,SUM($U$2:U197),"")</f>
        <v/>
      </c>
      <c r="W197">
        <f t="shared" si="23"/>
        <v>0</v>
      </c>
      <c r="X197" t="str">
        <f>IF($W197=1,SUM($W$2:W197),"")</f>
        <v/>
      </c>
    </row>
    <row r="198" spans="1:24" x14ac:dyDescent="0.3">
      <c r="A198">
        <f>IF(OR($BA1="Any",$BA1=""),1,IF('All Data'!$B198=$BA1,1,0))</f>
        <v>0</v>
      </c>
      <c r="B198">
        <f>IF(OR($BA2="Any",$BA2=""),1,IF('All Data'!$C198=$BA2,1,0))</f>
        <v>1</v>
      </c>
      <c r="C198">
        <f>IF(OR($BA3="Any",$BA3=""),1,IF('All Data'!$D198=$BA3,1,0))</f>
        <v>1</v>
      </c>
      <c r="D198">
        <f>IF(OR($BA4="Any",$BA4=""),1,IF('All Data'!$E198=$BA4,1,0))</f>
        <v>1</v>
      </c>
      <c r="E198">
        <f>IF(OR($BA5="Any",$BA5=""),1,IF('All Data'!$F198=$BA5,1,0))</f>
        <v>1</v>
      </c>
      <c r="F198">
        <f>IF(OR($BA6="Any",$BA6=""),1,IF('All Data'!$G198=$BA6,1,0))</f>
        <v>0</v>
      </c>
      <c r="G198">
        <f>IF(AND(OR($BA$8="",ISNUMBER(SEARCH($BA$8,'All Data'!$K198&amp;" "&amp;'All Data'!$M198))),OR($BA$9="",ISNUMBER(SEARCH($BA$9,'All Data'!$K198&amp;" "&amp;'All Data'!$M198))),OR($BA$10="",ISNUMBER(SEARCH($BA$10,'All Data'!$K198&amp;" "&amp;'All Data'!$M198))),OR($BA$11="",ISNUMBER(SEARCH($BA$11,'All Data'!$K198&amp;" "&amp;'All Data'!$M198))),OR($BA$12="",ISNUMBER(SEARCH($BA$12,'All Data'!$K198&amp;" "&amp;'All Data'!$M198))),OR($BA$13="",ISNUMBER(SEARCH($BA$13,'All Data'!$K198&amp;" "&amp;'All Data'!$M198))),OR($BA$14="",ISNUMBER(SEARCH($BA$14,'All Data'!$K198&amp;" "&amp;'All Data'!$M198))),OR($BA$15="",ISNUMBER(SEARCH($BA$15,'All Data'!$K198&amp;" "&amp;'All Data'!$M198)))),1,0)</f>
        <v>1</v>
      </c>
      <c r="H198">
        <f t="shared" si="18"/>
        <v>0</v>
      </c>
      <c r="I198">
        <f>IF(AND($H198=1,'All Data'!$C198&lt;&gt;"",COUNTIFS($H$2:H197,1,'All Data'!$C$2:$C197,'All Data'!$C198)=0),1,0)</f>
        <v>0</v>
      </c>
      <c r="J198" t="str">
        <f>IF($I198=1,SUM($I$2:I198),"")</f>
        <v/>
      </c>
      <c r="K198">
        <f t="shared" si="19"/>
        <v>0</v>
      </c>
      <c r="L198">
        <f>IF(AND($K198=1,'All Data'!$D198&lt;&gt;"",COUNTIFS($K$2:K197,1,'All Data'!$D$2:$D197,'All Data'!$D198)=0),1,0)</f>
        <v>0</v>
      </c>
      <c r="M198" t="str">
        <f>IF($L198=1,SUM($L$2:L198),"")</f>
        <v/>
      </c>
      <c r="N198">
        <f t="shared" si="20"/>
        <v>0</v>
      </c>
      <c r="O198">
        <f>IF(AND($N198=1,'All Data'!$E198&lt;&gt;"",COUNTIFS($N$2:N197,1,'All Data'!$E$2:$E197,'All Data'!$E198)=0),1,0)</f>
        <v>0</v>
      </c>
      <c r="P198" t="str">
        <f>IF($O198=1,SUM($O$2:O198),"")</f>
        <v/>
      </c>
      <c r="Q198">
        <f t="shared" si="21"/>
        <v>0</v>
      </c>
      <c r="R198">
        <f>IF(AND($Q198=1,'All Data'!$F198&lt;&gt;"",COUNTIFS($Q$2:Q197,1,'All Data'!$F$2:$F197,'All Data'!$F198)=0),1,0)</f>
        <v>0</v>
      </c>
      <c r="S198" t="str">
        <f>IF($R198=1,SUM($R$2:R198),"")</f>
        <v/>
      </c>
      <c r="T198">
        <f t="shared" si="22"/>
        <v>0</v>
      </c>
      <c r="U198">
        <f>IF(AND($T198=1,'All Data'!$G198&lt;&gt;"",COUNTIFS($T$2:T197,1,'All Data'!$G$2:$G197,'All Data'!$G198)=0),1,0)</f>
        <v>0</v>
      </c>
      <c r="V198" t="str">
        <f>IF($U198=1,SUM($U$2:U198),"")</f>
        <v/>
      </c>
      <c r="W198">
        <f t="shared" si="23"/>
        <v>0</v>
      </c>
      <c r="X198" t="str">
        <f>IF($W198=1,SUM($W$2:W198),"")</f>
        <v/>
      </c>
    </row>
    <row r="199" spans="1:24" x14ac:dyDescent="0.3">
      <c r="A199">
        <f>IF(OR($BA1="Any",$BA1=""),1,IF('All Data'!$B199=$BA1,1,0))</f>
        <v>0</v>
      </c>
      <c r="B199">
        <f>IF(OR($BA2="Any",$BA2=""),1,IF('All Data'!$C199=$BA2,1,0))</f>
        <v>1</v>
      </c>
      <c r="C199">
        <f>IF(OR($BA3="Any",$BA3=""),1,IF('All Data'!$D199=$BA3,1,0))</f>
        <v>1</v>
      </c>
      <c r="D199">
        <f>IF(OR($BA4="Any",$BA4=""),1,IF('All Data'!$E199=$BA4,1,0))</f>
        <v>1</v>
      </c>
      <c r="E199">
        <f>IF(OR($BA5="Any",$BA5=""),1,IF('All Data'!$F199=$BA5,1,0))</f>
        <v>1</v>
      </c>
      <c r="F199">
        <f>IF(OR($BA6="Any",$BA6=""),1,IF('All Data'!$G199=$BA6,1,0))</f>
        <v>0</v>
      </c>
      <c r="G199">
        <f>IF(AND(OR($BA$8="",ISNUMBER(SEARCH($BA$8,'All Data'!$K199&amp;" "&amp;'All Data'!$M199))),OR($BA$9="",ISNUMBER(SEARCH($BA$9,'All Data'!$K199&amp;" "&amp;'All Data'!$M199))),OR($BA$10="",ISNUMBER(SEARCH($BA$10,'All Data'!$K199&amp;" "&amp;'All Data'!$M199))),OR($BA$11="",ISNUMBER(SEARCH($BA$11,'All Data'!$K199&amp;" "&amp;'All Data'!$M199))),OR($BA$12="",ISNUMBER(SEARCH($BA$12,'All Data'!$K199&amp;" "&amp;'All Data'!$M199))),OR($BA$13="",ISNUMBER(SEARCH($BA$13,'All Data'!$K199&amp;" "&amp;'All Data'!$M199))),OR($BA$14="",ISNUMBER(SEARCH($BA$14,'All Data'!$K199&amp;" "&amp;'All Data'!$M199))),OR($BA$15="",ISNUMBER(SEARCH($BA$15,'All Data'!$K199&amp;" "&amp;'All Data'!$M199)))),1,0)</f>
        <v>1</v>
      </c>
      <c r="H199">
        <f t="shared" si="18"/>
        <v>0</v>
      </c>
      <c r="I199">
        <f>IF(AND($H199=1,'All Data'!$C199&lt;&gt;"",COUNTIFS($H$2:H198,1,'All Data'!$C$2:$C198,'All Data'!$C199)=0),1,0)</f>
        <v>0</v>
      </c>
      <c r="J199" t="str">
        <f>IF($I199=1,SUM($I$2:I199),"")</f>
        <v/>
      </c>
      <c r="K199">
        <f t="shared" si="19"/>
        <v>0</v>
      </c>
      <c r="L199">
        <f>IF(AND($K199=1,'All Data'!$D199&lt;&gt;"",COUNTIFS($K$2:K198,1,'All Data'!$D$2:$D198,'All Data'!$D199)=0),1,0)</f>
        <v>0</v>
      </c>
      <c r="M199" t="str">
        <f>IF($L199=1,SUM($L$2:L199),"")</f>
        <v/>
      </c>
      <c r="N199">
        <f t="shared" si="20"/>
        <v>0</v>
      </c>
      <c r="O199">
        <f>IF(AND($N199=1,'All Data'!$E199&lt;&gt;"",COUNTIFS($N$2:N198,1,'All Data'!$E$2:$E198,'All Data'!$E199)=0),1,0)</f>
        <v>0</v>
      </c>
      <c r="P199" t="str">
        <f>IF($O199=1,SUM($O$2:O199),"")</f>
        <v/>
      </c>
      <c r="Q199">
        <f t="shared" si="21"/>
        <v>0</v>
      </c>
      <c r="R199">
        <f>IF(AND($Q199=1,'All Data'!$F199&lt;&gt;"",COUNTIFS($Q$2:Q198,1,'All Data'!$F$2:$F198,'All Data'!$F199)=0),1,0)</f>
        <v>0</v>
      </c>
      <c r="S199" t="str">
        <f>IF($R199=1,SUM($R$2:R199),"")</f>
        <v/>
      </c>
      <c r="T199">
        <f t="shared" si="22"/>
        <v>0</v>
      </c>
      <c r="U199">
        <f>IF(AND($T199=1,'All Data'!$G199&lt;&gt;"",COUNTIFS($T$2:T198,1,'All Data'!$G$2:$G198,'All Data'!$G199)=0),1,0)</f>
        <v>0</v>
      </c>
      <c r="V199" t="str">
        <f>IF($U199=1,SUM($U$2:U199),"")</f>
        <v/>
      </c>
      <c r="W199">
        <f t="shared" si="23"/>
        <v>0</v>
      </c>
      <c r="X199" t="str">
        <f>IF($W199=1,SUM($W$2:W199),"")</f>
        <v/>
      </c>
    </row>
    <row r="200" spans="1:24" x14ac:dyDescent="0.3">
      <c r="A200">
        <f>IF(OR($BA1="Any",$BA1=""),1,IF('All Data'!$B200=$BA1,1,0))</f>
        <v>0</v>
      </c>
      <c r="B200">
        <f>IF(OR($BA2="Any",$BA2=""),1,IF('All Data'!$C200=$BA2,1,0))</f>
        <v>1</v>
      </c>
      <c r="C200">
        <f>IF(OR($BA3="Any",$BA3=""),1,IF('All Data'!$D200=$BA3,1,0))</f>
        <v>1</v>
      </c>
      <c r="D200">
        <f>IF(OR($BA4="Any",$BA4=""),1,IF('All Data'!$E200=$BA4,1,0))</f>
        <v>1</v>
      </c>
      <c r="E200">
        <f>IF(OR($BA5="Any",$BA5=""),1,IF('All Data'!$F200=$BA5,1,0))</f>
        <v>1</v>
      </c>
      <c r="F200">
        <f>IF(OR($BA6="Any",$BA6=""),1,IF('All Data'!$G200=$BA6,1,0))</f>
        <v>0</v>
      </c>
      <c r="G200">
        <f>IF(AND(OR($BA$8="",ISNUMBER(SEARCH($BA$8,'All Data'!$K200&amp;" "&amp;'All Data'!$M200))),OR($BA$9="",ISNUMBER(SEARCH($BA$9,'All Data'!$K200&amp;" "&amp;'All Data'!$M200))),OR($BA$10="",ISNUMBER(SEARCH($BA$10,'All Data'!$K200&amp;" "&amp;'All Data'!$M200))),OR($BA$11="",ISNUMBER(SEARCH($BA$11,'All Data'!$K200&amp;" "&amp;'All Data'!$M200))),OR($BA$12="",ISNUMBER(SEARCH($BA$12,'All Data'!$K200&amp;" "&amp;'All Data'!$M200))),OR($BA$13="",ISNUMBER(SEARCH($BA$13,'All Data'!$K200&amp;" "&amp;'All Data'!$M200))),OR($BA$14="",ISNUMBER(SEARCH($BA$14,'All Data'!$K200&amp;" "&amp;'All Data'!$M200))),OR($BA$15="",ISNUMBER(SEARCH($BA$15,'All Data'!$K200&amp;" "&amp;'All Data'!$M200)))),1,0)</f>
        <v>1</v>
      </c>
      <c r="H200">
        <f t="shared" si="18"/>
        <v>0</v>
      </c>
      <c r="I200">
        <f>IF(AND($H200=1,'All Data'!$C200&lt;&gt;"",COUNTIFS($H$2:H199,1,'All Data'!$C$2:$C199,'All Data'!$C200)=0),1,0)</f>
        <v>0</v>
      </c>
      <c r="J200" t="str">
        <f>IF($I200=1,SUM($I$2:I200),"")</f>
        <v/>
      </c>
      <c r="K200">
        <f t="shared" si="19"/>
        <v>0</v>
      </c>
      <c r="L200">
        <f>IF(AND($K200=1,'All Data'!$D200&lt;&gt;"",COUNTIFS($K$2:K199,1,'All Data'!$D$2:$D199,'All Data'!$D200)=0),1,0)</f>
        <v>0</v>
      </c>
      <c r="M200" t="str">
        <f>IF($L200=1,SUM($L$2:L200),"")</f>
        <v/>
      </c>
      <c r="N200">
        <f t="shared" si="20"/>
        <v>0</v>
      </c>
      <c r="O200">
        <f>IF(AND($N200=1,'All Data'!$E200&lt;&gt;"",COUNTIFS($N$2:N199,1,'All Data'!$E$2:$E199,'All Data'!$E200)=0),1,0)</f>
        <v>0</v>
      </c>
      <c r="P200" t="str">
        <f>IF($O200=1,SUM($O$2:O200),"")</f>
        <v/>
      </c>
      <c r="Q200">
        <f t="shared" si="21"/>
        <v>0</v>
      </c>
      <c r="R200">
        <f>IF(AND($Q200=1,'All Data'!$F200&lt;&gt;"",COUNTIFS($Q$2:Q199,1,'All Data'!$F$2:$F199,'All Data'!$F200)=0),1,0)</f>
        <v>0</v>
      </c>
      <c r="S200" t="str">
        <f>IF($R200=1,SUM($R$2:R200),"")</f>
        <v/>
      </c>
      <c r="T200">
        <f t="shared" si="22"/>
        <v>0</v>
      </c>
      <c r="U200">
        <f>IF(AND($T200=1,'All Data'!$G200&lt;&gt;"",COUNTIFS($T$2:T199,1,'All Data'!$G$2:$G199,'All Data'!$G200)=0),1,0)</f>
        <v>0</v>
      </c>
      <c r="V200" t="str">
        <f>IF($U200=1,SUM($U$2:U200),"")</f>
        <v/>
      </c>
      <c r="W200">
        <f t="shared" si="23"/>
        <v>0</v>
      </c>
      <c r="X200" t="str">
        <f>IF($W200=1,SUM($W$2:W200),"")</f>
        <v/>
      </c>
    </row>
    <row r="201" spans="1:24" x14ac:dyDescent="0.3">
      <c r="A201">
        <f>IF(OR($BA1="Any",$BA1=""),1,IF('All Data'!$B201=$BA1,1,0))</f>
        <v>0</v>
      </c>
      <c r="B201">
        <f>IF(OR($BA2="Any",$BA2=""),1,IF('All Data'!$C201=$BA2,1,0))</f>
        <v>1</v>
      </c>
      <c r="C201">
        <f>IF(OR($BA3="Any",$BA3=""),1,IF('All Data'!$D201=$BA3,1,0))</f>
        <v>1</v>
      </c>
      <c r="D201">
        <f>IF(OR($BA4="Any",$BA4=""),1,IF('All Data'!$E201=$BA4,1,0))</f>
        <v>1</v>
      </c>
      <c r="E201">
        <f>IF(OR($BA5="Any",$BA5=""),1,IF('All Data'!$F201=$BA5,1,0))</f>
        <v>1</v>
      </c>
      <c r="F201">
        <f>IF(OR($BA6="Any",$BA6=""),1,IF('All Data'!$G201=$BA6,1,0))</f>
        <v>0</v>
      </c>
      <c r="G201">
        <f>IF(AND(OR($BA$8="",ISNUMBER(SEARCH($BA$8,'All Data'!$K201&amp;" "&amp;'All Data'!$M201))),OR($BA$9="",ISNUMBER(SEARCH($BA$9,'All Data'!$K201&amp;" "&amp;'All Data'!$M201))),OR($BA$10="",ISNUMBER(SEARCH($BA$10,'All Data'!$K201&amp;" "&amp;'All Data'!$M201))),OR($BA$11="",ISNUMBER(SEARCH($BA$11,'All Data'!$K201&amp;" "&amp;'All Data'!$M201))),OR($BA$12="",ISNUMBER(SEARCH($BA$12,'All Data'!$K201&amp;" "&amp;'All Data'!$M201))),OR($BA$13="",ISNUMBER(SEARCH($BA$13,'All Data'!$K201&amp;" "&amp;'All Data'!$M201))),OR($BA$14="",ISNUMBER(SEARCH($BA$14,'All Data'!$K201&amp;" "&amp;'All Data'!$M201))),OR($BA$15="",ISNUMBER(SEARCH($BA$15,'All Data'!$K201&amp;" "&amp;'All Data'!$M201)))),1,0)</f>
        <v>1</v>
      </c>
      <c r="H201">
        <f t="shared" si="18"/>
        <v>0</v>
      </c>
      <c r="I201">
        <f>IF(AND($H201=1,'All Data'!$C201&lt;&gt;"",COUNTIFS($H$2:H200,1,'All Data'!$C$2:$C200,'All Data'!$C201)=0),1,0)</f>
        <v>0</v>
      </c>
      <c r="J201" t="str">
        <f>IF($I201=1,SUM($I$2:I201),"")</f>
        <v/>
      </c>
      <c r="K201">
        <f t="shared" si="19"/>
        <v>0</v>
      </c>
      <c r="L201">
        <f>IF(AND($K201=1,'All Data'!$D201&lt;&gt;"",COUNTIFS($K$2:K200,1,'All Data'!$D$2:$D200,'All Data'!$D201)=0),1,0)</f>
        <v>0</v>
      </c>
      <c r="M201" t="str">
        <f>IF($L201=1,SUM($L$2:L201),"")</f>
        <v/>
      </c>
      <c r="N201">
        <f t="shared" si="20"/>
        <v>0</v>
      </c>
      <c r="O201">
        <f>IF(AND($N201=1,'All Data'!$E201&lt;&gt;"",COUNTIFS($N$2:N200,1,'All Data'!$E$2:$E200,'All Data'!$E201)=0),1,0)</f>
        <v>0</v>
      </c>
      <c r="P201" t="str">
        <f>IF($O201=1,SUM($O$2:O201),"")</f>
        <v/>
      </c>
      <c r="Q201">
        <f t="shared" si="21"/>
        <v>0</v>
      </c>
      <c r="R201">
        <f>IF(AND($Q201=1,'All Data'!$F201&lt;&gt;"",COUNTIFS($Q$2:Q200,1,'All Data'!$F$2:$F200,'All Data'!$F201)=0),1,0)</f>
        <v>0</v>
      </c>
      <c r="S201" t="str">
        <f>IF($R201=1,SUM($R$2:R201),"")</f>
        <v/>
      </c>
      <c r="T201">
        <f t="shared" si="22"/>
        <v>0</v>
      </c>
      <c r="U201">
        <f>IF(AND($T201=1,'All Data'!$G201&lt;&gt;"",COUNTIFS($T$2:T200,1,'All Data'!$G$2:$G200,'All Data'!$G201)=0),1,0)</f>
        <v>0</v>
      </c>
      <c r="V201" t="str">
        <f>IF($U201=1,SUM($U$2:U201),"")</f>
        <v/>
      </c>
      <c r="W201">
        <f t="shared" si="23"/>
        <v>0</v>
      </c>
      <c r="X201" t="str">
        <f>IF($W201=1,SUM($W$2:W201),"")</f>
        <v/>
      </c>
    </row>
    <row r="202" spans="1:24" x14ac:dyDescent="0.3">
      <c r="A202">
        <f>IF(OR($BA1="Any",$BA1=""),1,IF('All Data'!$B202=$BA1,1,0))</f>
        <v>0</v>
      </c>
      <c r="B202">
        <f>IF(OR($BA2="Any",$BA2=""),1,IF('All Data'!$C202=$BA2,1,0))</f>
        <v>1</v>
      </c>
      <c r="C202">
        <f>IF(OR($BA3="Any",$BA3=""),1,IF('All Data'!$D202=$BA3,1,0))</f>
        <v>1</v>
      </c>
      <c r="D202">
        <f>IF(OR($BA4="Any",$BA4=""),1,IF('All Data'!$E202=$BA4,1,0))</f>
        <v>1</v>
      </c>
      <c r="E202">
        <f>IF(OR($BA5="Any",$BA5=""),1,IF('All Data'!$F202=$BA5,1,0))</f>
        <v>1</v>
      </c>
      <c r="F202">
        <f>IF(OR($BA6="Any",$BA6=""),1,IF('All Data'!$G202=$BA6,1,0))</f>
        <v>0</v>
      </c>
      <c r="G202">
        <f>IF(AND(OR($BA$8="",ISNUMBER(SEARCH($BA$8,'All Data'!$K202&amp;" "&amp;'All Data'!$M202))),OR($BA$9="",ISNUMBER(SEARCH($BA$9,'All Data'!$K202&amp;" "&amp;'All Data'!$M202))),OR($BA$10="",ISNUMBER(SEARCH($BA$10,'All Data'!$K202&amp;" "&amp;'All Data'!$M202))),OR($BA$11="",ISNUMBER(SEARCH($BA$11,'All Data'!$K202&amp;" "&amp;'All Data'!$M202))),OR($BA$12="",ISNUMBER(SEARCH($BA$12,'All Data'!$K202&amp;" "&amp;'All Data'!$M202))),OR($BA$13="",ISNUMBER(SEARCH($BA$13,'All Data'!$K202&amp;" "&amp;'All Data'!$M202))),OR($BA$14="",ISNUMBER(SEARCH($BA$14,'All Data'!$K202&amp;" "&amp;'All Data'!$M202))),OR($BA$15="",ISNUMBER(SEARCH($BA$15,'All Data'!$K202&amp;" "&amp;'All Data'!$M202)))),1,0)</f>
        <v>1</v>
      </c>
      <c r="H202">
        <f t="shared" si="18"/>
        <v>0</v>
      </c>
      <c r="I202">
        <f>IF(AND($H202=1,'All Data'!$C202&lt;&gt;"",COUNTIFS($H$2:H201,1,'All Data'!$C$2:$C201,'All Data'!$C202)=0),1,0)</f>
        <v>0</v>
      </c>
      <c r="J202" t="str">
        <f>IF($I202=1,SUM($I$2:I202),"")</f>
        <v/>
      </c>
      <c r="K202">
        <f t="shared" si="19"/>
        <v>0</v>
      </c>
      <c r="L202">
        <f>IF(AND($K202=1,'All Data'!$D202&lt;&gt;"",COUNTIFS($K$2:K201,1,'All Data'!$D$2:$D201,'All Data'!$D202)=0),1,0)</f>
        <v>0</v>
      </c>
      <c r="M202" t="str">
        <f>IF($L202=1,SUM($L$2:L202),"")</f>
        <v/>
      </c>
      <c r="N202">
        <f t="shared" si="20"/>
        <v>0</v>
      </c>
      <c r="O202">
        <f>IF(AND($N202=1,'All Data'!$E202&lt;&gt;"",COUNTIFS($N$2:N201,1,'All Data'!$E$2:$E201,'All Data'!$E202)=0),1,0)</f>
        <v>0</v>
      </c>
      <c r="P202" t="str">
        <f>IF($O202=1,SUM($O$2:O202),"")</f>
        <v/>
      </c>
      <c r="Q202">
        <f t="shared" si="21"/>
        <v>0</v>
      </c>
      <c r="R202">
        <f>IF(AND($Q202=1,'All Data'!$F202&lt;&gt;"",COUNTIFS($Q$2:Q201,1,'All Data'!$F$2:$F201,'All Data'!$F202)=0),1,0)</f>
        <v>0</v>
      </c>
      <c r="S202" t="str">
        <f>IF($R202=1,SUM($R$2:R202),"")</f>
        <v/>
      </c>
      <c r="T202">
        <f t="shared" si="22"/>
        <v>0</v>
      </c>
      <c r="U202">
        <f>IF(AND($T202=1,'All Data'!$G202&lt;&gt;"",COUNTIFS($T$2:T201,1,'All Data'!$G$2:$G201,'All Data'!$G202)=0),1,0)</f>
        <v>0</v>
      </c>
      <c r="V202" t="str">
        <f>IF($U202=1,SUM($U$2:U202),"")</f>
        <v/>
      </c>
      <c r="W202">
        <f t="shared" si="23"/>
        <v>0</v>
      </c>
      <c r="X202" t="str">
        <f>IF($W202=1,SUM($W$2:W202),"")</f>
        <v/>
      </c>
    </row>
    <row r="203" spans="1:24" x14ac:dyDescent="0.3">
      <c r="A203">
        <f>IF(OR($BA1="Any",$BA1=""),1,IF('All Data'!$B203=$BA1,1,0))</f>
        <v>0</v>
      </c>
      <c r="B203">
        <f>IF(OR($BA2="Any",$BA2=""),1,IF('All Data'!$C203=$BA2,1,0))</f>
        <v>1</v>
      </c>
      <c r="C203">
        <f>IF(OR($BA3="Any",$BA3=""),1,IF('All Data'!$D203=$BA3,1,0))</f>
        <v>1</v>
      </c>
      <c r="D203">
        <f>IF(OR($BA4="Any",$BA4=""),1,IF('All Data'!$E203=$BA4,1,0))</f>
        <v>1</v>
      </c>
      <c r="E203">
        <f>IF(OR($BA5="Any",$BA5=""),1,IF('All Data'!$F203=$BA5,1,0))</f>
        <v>1</v>
      </c>
      <c r="F203">
        <f>IF(OR($BA6="Any",$BA6=""),1,IF('All Data'!$G203=$BA6,1,0))</f>
        <v>0</v>
      </c>
      <c r="G203">
        <f>IF(AND(OR($BA$8="",ISNUMBER(SEARCH($BA$8,'All Data'!$K203&amp;" "&amp;'All Data'!$M203))),OR($BA$9="",ISNUMBER(SEARCH($BA$9,'All Data'!$K203&amp;" "&amp;'All Data'!$M203))),OR($BA$10="",ISNUMBER(SEARCH($BA$10,'All Data'!$K203&amp;" "&amp;'All Data'!$M203))),OR($BA$11="",ISNUMBER(SEARCH($BA$11,'All Data'!$K203&amp;" "&amp;'All Data'!$M203))),OR($BA$12="",ISNUMBER(SEARCH($BA$12,'All Data'!$K203&amp;" "&amp;'All Data'!$M203))),OR($BA$13="",ISNUMBER(SEARCH($BA$13,'All Data'!$K203&amp;" "&amp;'All Data'!$M203))),OR($BA$14="",ISNUMBER(SEARCH($BA$14,'All Data'!$K203&amp;" "&amp;'All Data'!$M203))),OR($BA$15="",ISNUMBER(SEARCH($BA$15,'All Data'!$K203&amp;" "&amp;'All Data'!$M203)))),1,0)</f>
        <v>1</v>
      </c>
      <c r="H203">
        <f t="shared" si="18"/>
        <v>0</v>
      </c>
      <c r="I203">
        <f>IF(AND($H203=1,'All Data'!$C203&lt;&gt;"",COUNTIFS($H$2:H202,1,'All Data'!$C$2:$C202,'All Data'!$C203)=0),1,0)</f>
        <v>0</v>
      </c>
      <c r="J203" t="str">
        <f>IF($I203=1,SUM($I$2:I203),"")</f>
        <v/>
      </c>
      <c r="K203">
        <f t="shared" si="19"/>
        <v>0</v>
      </c>
      <c r="L203">
        <f>IF(AND($K203=1,'All Data'!$D203&lt;&gt;"",COUNTIFS($K$2:K202,1,'All Data'!$D$2:$D202,'All Data'!$D203)=0),1,0)</f>
        <v>0</v>
      </c>
      <c r="M203" t="str">
        <f>IF($L203=1,SUM($L$2:L203),"")</f>
        <v/>
      </c>
      <c r="N203">
        <f t="shared" si="20"/>
        <v>0</v>
      </c>
      <c r="O203">
        <f>IF(AND($N203=1,'All Data'!$E203&lt;&gt;"",COUNTIFS($N$2:N202,1,'All Data'!$E$2:$E202,'All Data'!$E203)=0),1,0)</f>
        <v>0</v>
      </c>
      <c r="P203" t="str">
        <f>IF($O203=1,SUM($O$2:O203),"")</f>
        <v/>
      </c>
      <c r="Q203">
        <f t="shared" si="21"/>
        <v>0</v>
      </c>
      <c r="R203">
        <f>IF(AND($Q203=1,'All Data'!$F203&lt;&gt;"",COUNTIFS($Q$2:Q202,1,'All Data'!$F$2:$F202,'All Data'!$F203)=0),1,0)</f>
        <v>0</v>
      </c>
      <c r="S203" t="str">
        <f>IF($R203=1,SUM($R$2:R203),"")</f>
        <v/>
      </c>
      <c r="T203">
        <f t="shared" si="22"/>
        <v>0</v>
      </c>
      <c r="U203">
        <f>IF(AND($T203=1,'All Data'!$G203&lt;&gt;"",COUNTIFS($T$2:T202,1,'All Data'!$G$2:$G202,'All Data'!$G203)=0),1,0)</f>
        <v>0</v>
      </c>
      <c r="V203" t="str">
        <f>IF($U203=1,SUM($U$2:U203),"")</f>
        <v/>
      </c>
      <c r="W203">
        <f t="shared" si="23"/>
        <v>0</v>
      </c>
      <c r="X203" t="str">
        <f>IF($W203=1,SUM($W$2:W203),"")</f>
        <v/>
      </c>
    </row>
    <row r="204" spans="1:24" x14ac:dyDescent="0.3">
      <c r="A204">
        <f>IF(OR($BA1="Any",$BA1=""),1,IF('All Data'!$B204=$BA1,1,0))</f>
        <v>0</v>
      </c>
      <c r="B204">
        <f>IF(OR($BA2="Any",$BA2=""),1,IF('All Data'!$C204=$BA2,1,0))</f>
        <v>1</v>
      </c>
      <c r="C204">
        <f>IF(OR($BA3="Any",$BA3=""),1,IF('All Data'!$D204=$BA3,1,0))</f>
        <v>1</v>
      </c>
      <c r="D204">
        <f>IF(OR($BA4="Any",$BA4=""),1,IF('All Data'!$E204=$BA4,1,0))</f>
        <v>1</v>
      </c>
      <c r="E204">
        <f>IF(OR($BA5="Any",$BA5=""),1,IF('All Data'!$F204=$BA5,1,0))</f>
        <v>1</v>
      </c>
      <c r="F204">
        <f>IF(OR($BA6="Any",$BA6=""),1,IF('All Data'!$G204=$BA6,1,0))</f>
        <v>0</v>
      </c>
      <c r="G204">
        <f>IF(AND(OR($BA$8="",ISNUMBER(SEARCH($BA$8,'All Data'!$K204&amp;" "&amp;'All Data'!$M204))),OR($BA$9="",ISNUMBER(SEARCH($BA$9,'All Data'!$K204&amp;" "&amp;'All Data'!$M204))),OR($BA$10="",ISNUMBER(SEARCH($BA$10,'All Data'!$K204&amp;" "&amp;'All Data'!$M204))),OR($BA$11="",ISNUMBER(SEARCH($BA$11,'All Data'!$K204&amp;" "&amp;'All Data'!$M204))),OR($BA$12="",ISNUMBER(SEARCH($BA$12,'All Data'!$K204&amp;" "&amp;'All Data'!$M204))),OR($BA$13="",ISNUMBER(SEARCH($BA$13,'All Data'!$K204&amp;" "&amp;'All Data'!$M204))),OR($BA$14="",ISNUMBER(SEARCH($BA$14,'All Data'!$K204&amp;" "&amp;'All Data'!$M204))),OR($BA$15="",ISNUMBER(SEARCH($BA$15,'All Data'!$K204&amp;" "&amp;'All Data'!$M204)))),1,0)</f>
        <v>1</v>
      </c>
      <c r="H204">
        <f t="shared" si="18"/>
        <v>0</v>
      </c>
      <c r="I204">
        <f>IF(AND($H204=1,'All Data'!$C204&lt;&gt;"",COUNTIFS($H$2:H203,1,'All Data'!$C$2:$C203,'All Data'!$C204)=0),1,0)</f>
        <v>0</v>
      </c>
      <c r="J204" t="str">
        <f>IF($I204=1,SUM($I$2:I204),"")</f>
        <v/>
      </c>
      <c r="K204">
        <f t="shared" si="19"/>
        <v>0</v>
      </c>
      <c r="L204">
        <f>IF(AND($K204=1,'All Data'!$D204&lt;&gt;"",COUNTIFS($K$2:K203,1,'All Data'!$D$2:$D203,'All Data'!$D204)=0),1,0)</f>
        <v>0</v>
      </c>
      <c r="M204" t="str">
        <f>IF($L204=1,SUM($L$2:L204),"")</f>
        <v/>
      </c>
      <c r="N204">
        <f t="shared" si="20"/>
        <v>0</v>
      </c>
      <c r="O204">
        <f>IF(AND($N204=1,'All Data'!$E204&lt;&gt;"",COUNTIFS($N$2:N203,1,'All Data'!$E$2:$E203,'All Data'!$E204)=0),1,0)</f>
        <v>0</v>
      </c>
      <c r="P204" t="str">
        <f>IF($O204=1,SUM($O$2:O204),"")</f>
        <v/>
      </c>
      <c r="Q204">
        <f t="shared" si="21"/>
        <v>0</v>
      </c>
      <c r="R204">
        <f>IF(AND($Q204=1,'All Data'!$F204&lt;&gt;"",COUNTIFS($Q$2:Q203,1,'All Data'!$F$2:$F203,'All Data'!$F204)=0),1,0)</f>
        <v>0</v>
      </c>
      <c r="S204" t="str">
        <f>IF($R204=1,SUM($R$2:R204),"")</f>
        <v/>
      </c>
      <c r="T204">
        <f t="shared" si="22"/>
        <v>0</v>
      </c>
      <c r="U204">
        <f>IF(AND($T204=1,'All Data'!$G204&lt;&gt;"",COUNTIFS($T$2:T203,1,'All Data'!$G$2:$G203,'All Data'!$G204)=0),1,0)</f>
        <v>0</v>
      </c>
      <c r="V204" t="str">
        <f>IF($U204=1,SUM($U$2:U204),"")</f>
        <v/>
      </c>
      <c r="W204">
        <f t="shared" si="23"/>
        <v>0</v>
      </c>
      <c r="X204" t="str">
        <f>IF($W204=1,SUM($W$2:W204),"")</f>
        <v/>
      </c>
    </row>
    <row r="205" spans="1:24" x14ac:dyDescent="0.3">
      <c r="A205">
        <f>IF(OR($BA1="Any",$BA1=""),1,IF('All Data'!$B205=$BA1,1,0))</f>
        <v>0</v>
      </c>
      <c r="B205">
        <f>IF(OR($BA2="Any",$BA2=""),1,IF('All Data'!$C205=$BA2,1,0))</f>
        <v>1</v>
      </c>
      <c r="C205">
        <f>IF(OR($BA3="Any",$BA3=""),1,IF('All Data'!$D205=$BA3,1,0))</f>
        <v>1</v>
      </c>
      <c r="D205">
        <f>IF(OR($BA4="Any",$BA4=""),1,IF('All Data'!$E205=$BA4,1,0))</f>
        <v>1</v>
      </c>
      <c r="E205">
        <f>IF(OR($BA5="Any",$BA5=""),1,IF('All Data'!$F205=$BA5,1,0))</f>
        <v>1</v>
      </c>
      <c r="F205">
        <f>IF(OR($BA6="Any",$BA6=""),1,IF('All Data'!$G205=$BA6,1,0))</f>
        <v>0</v>
      </c>
      <c r="G205">
        <f>IF(AND(OR($BA$8="",ISNUMBER(SEARCH($BA$8,'All Data'!$K205&amp;" "&amp;'All Data'!$M205))),OR($BA$9="",ISNUMBER(SEARCH($BA$9,'All Data'!$K205&amp;" "&amp;'All Data'!$M205))),OR($BA$10="",ISNUMBER(SEARCH($BA$10,'All Data'!$K205&amp;" "&amp;'All Data'!$M205))),OR($BA$11="",ISNUMBER(SEARCH($BA$11,'All Data'!$K205&amp;" "&amp;'All Data'!$M205))),OR($BA$12="",ISNUMBER(SEARCH($BA$12,'All Data'!$K205&amp;" "&amp;'All Data'!$M205))),OR($BA$13="",ISNUMBER(SEARCH($BA$13,'All Data'!$K205&amp;" "&amp;'All Data'!$M205))),OR($BA$14="",ISNUMBER(SEARCH($BA$14,'All Data'!$K205&amp;" "&amp;'All Data'!$M205))),OR($BA$15="",ISNUMBER(SEARCH($BA$15,'All Data'!$K205&amp;" "&amp;'All Data'!$M205)))),1,0)</f>
        <v>1</v>
      </c>
      <c r="H205">
        <f t="shared" si="18"/>
        <v>0</v>
      </c>
      <c r="I205">
        <f>IF(AND($H205=1,'All Data'!$C205&lt;&gt;"",COUNTIFS($H$2:H204,1,'All Data'!$C$2:$C204,'All Data'!$C205)=0),1,0)</f>
        <v>0</v>
      </c>
      <c r="J205" t="str">
        <f>IF($I205=1,SUM($I$2:I205),"")</f>
        <v/>
      </c>
      <c r="K205">
        <f t="shared" si="19"/>
        <v>0</v>
      </c>
      <c r="L205">
        <f>IF(AND($K205=1,'All Data'!$D205&lt;&gt;"",COUNTIFS($K$2:K204,1,'All Data'!$D$2:$D204,'All Data'!$D205)=0),1,0)</f>
        <v>0</v>
      </c>
      <c r="M205" t="str">
        <f>IF($L205=1,SUM($L$2:L205),"")</f>
        <v/>
      </c>
      <c r="N205">
        <f t="shared" si="20"/>
        <v>0</v>
      </c>
      <c r="O205">
        <f>IF(AND($N205=1,'All Data'!$E205&lt;&gt;"",COUNTIFS($N$2:N204,1,'All Data'!$E$2:$E204,'All Data'!$E205)=0),1,0)</f>
        <v>0</v>
      </c>
      <c r="P205" t="str">
        <f>IF($O205=1,SUM($O$2:O205),"")</f>
        <v/>
      </c>
      <c r="Q205">
        <f t="shared" si="21"/>
        <v>0</v>
      </c>
      <c r="R205">
        <f>IF(AND($Q205=1,'All Data'!$F205&lt;&gt;"",COUNTIFS($Q$2:Q204,1,'All Data'!$F$2:$F204,'All Data'!$F205)=0),1,0)</f>
        <v>0</v>
      </c>
      <c r="S205" t="str">
        <f>IF($R205=1,SUM($R$2:R205),"")</f>
        <v/>
      </c>
      <c r="T205">
        <f t="shared" si="22"/>
        <v>0</v>
      </c>
      <c r="U205">
        <f>IF(AND($T205=1,'All Data'!$G205&lt;&gt;"",COUNTIFS($T$2:T204,1,'All Data'!$G$2:$G204,'All Data'!$G205)=0),1,0)</f>
        <v>0</v>
      </c>
      <c r="V205" t="str">
        <f>IF($U205=1,SUM($U$2:U205),"")</f>
        <v/>
      </c>
      <c r="W205">
        <f t="shared" si="23"/>
        <v>0</v>
      </c>
      <c r="X205" t="str">
        <f>IF($W205=1,SUM($W$2:W205),"")</f>
        <v/>
      </c>
    </row>
    <row r="206" spans="1:24" x14ac:dyDescent="0.3">
      <c r="A206">
        <f>IF(OR($BA1="Any",$BA1=""),1,IF('All Data'!$B206=$BA1,1,0))</f>
        <v>0</v>
      </c>
      <c r="B206">
        <f>IF(OR($BA2="Any",$BA2=""),1,IF('All Data'!$C206=$BA2,1,0))</f>
        <v>1</v>
      </c>
      <c r="C206">
        <f>IF(OR($BA3="Any",$BA3=""),1,IF('All Data'!$D206=$BA3,1,0))</f>
        <v>1</v>
      </c>
      <c r="D206">
        <f>IF(OR($BA4="Any",$BA4=""),1,IF('All Data'!$E206=$BA4,1,0))</f>
        <v>1</v>
      </c>
      <c r="E206">
        <f>IF(OR($BA5="Any",$BA5=""),1,IF('All Data'!$F206=$BA5,1,0))</f>
        <v>1</v>
      </c>
      <c r="F206">
        <f>IF(OR($BA6="Any",$BA6=""),1,IF('All Data'!$G206=$BA6,1,0))</f>
        <v>0</v>
      </c>
      <c r="G206">
        <f>IF(AND(OR($BA$8="",ISNUMBER(SEARCH($BA$8,'All Data'!$K206&amp;" "&amp;'All Data'!$M206))),OR($BA$9="",ISNUMBER(SEARCH($BA$9,'All Data'!$K206&amp;" "&amp;'All Data'!$M206))),OR($BA$10="",ISNUMBER(SEARCH($BA$10,'All Data'!$K206&amp;" "&amp;'All Data'!$M206))),OR($BA$11="",ISNUMBER(SEARCH($BA$11,'All Data'!$K206&amp;" "&amp;'All Data'!$M206))),OR($BA$12="",ISNUMBER(SEARCH($BA$12,'All Data'!$K206&amp;" "&amp;'All Data'!$M206))),OR($BA$13="",ISNUMBER(SEARCH($BA$13,'All Data'!$K206&amp;" "&amp;'All Data'!$M206))),OR($BA$14="",ISNUMBER(SEARCH($BA$14,'All Data'!$K206&amp;" "&amp;'All Data'!$M206))),OR($BA$15="",ISNUMBER(SEARCH($BA$15,'All Data'!$K206&amp;" "&amp;'All Data'!$M206)))),1,0)</f>
        <v>1</v>
      </c>
      <c r="H206">
        <f t="shared" si="18"/>
        <v>0</v>
      </c>
      <c r="I206">
        <f>IF(AND($H206=1,'All Data'!$C206&lt;&gt;"",COUNTIFS($H$2:H205,1,'All Data'!$C$2:$C205,'All Data'!$C206)=0),1,0)</f>
        <v>0</v>
      </c>
      <c r="J206" t="str">
        <f>IF($I206=1,SUM($I$2:I206),"")</f>
        <v/>
      </c>
      <c r="K206">
        <f t="shared" si="19"/>
        <v>0</v>
      </c>
      <c r="L206">
        <f>IF(AND($K206=1,'All Data'!$D206&lt;&gt;"",COUNTIFS($K$2:K205,1,'All Data'!$D$2:$D205,'All Data'!$D206)=0),1,0)</f>
        <v>0</v>
      </c>
      <c r="M206" t="str">
        <f>IF($L206=1,SUM($L$2:L206),"")</f>
        <v/>
      </c>
      <c r="N206">
        <f t="shared" si="20"/>
        <v>0</v>
      </c>
      <c r="O206">
        <f>IF(AND($N206=1,'All Data'!$E206&lt;&gt;"",COUNTIFS($N$2:N205,1,'All Data'!$E$2:$E205,'All Data'!$E206)=0),1,0)</f>
        <v>0</v>
      </c>
      <c r="P206" t="str">
        <f>IF($O206=1,SUM($O$2:O206),"")</f>
        <v/>
      </c>
      <c r="Q206">
        <f t="shared" si="21"/>
        <v>0</v>
      </c>
      <c r="R206">
        <f>IF(AND($Q206=1,'All Data'!$F206&lt;&gt;"",COUNTIFS($Q$2:Q205,1,'All Data'!$F$2:$F205,'All Data'!$F206)=0),1,0)</f>
        <v>0</v>
      </c>
      <c r="S206" t="str">
        <f>IF($R206=1,SUM($R$2:R206),"")</f>
        <v/>
      </c>
      <c r="T206">
        <f t="shared" si="22"/>
        <v>0</v>
      </c>
      <c r="U206">
        <f>IF(AND($T206=1,'All Data'!$G206&lt;&gt;"",COUNTIFS($T$2:T205,1,'All Data'!$G$2:$G205,'All Data'!$G206)=0),1,0)</f>
        <v>0</v>
      </c>
      <c r="V206" t="str">
        <f>IF($U206=1,SUM($U$2:U206),"")</f>
        <v/>
      </c>
      <c r="W206">
        <f t="shared" si="23"/>
        <v>0</v>
      </c>
      <c r="X206" t="str">
        <f>IF($W206=1,SUM($W$2:W206),"")</f>
        <v/>
      </c>
    </row>
    <row r="207" spans="1:24" x14ac:dyDescent="0.3">
      <c r="A207">
        <f>IF(OR($BA1="Any",$BA1=""),1,IF('All Data'!$B207=$BA1,1,0))</f>
        <v>0</v>
      </c>
      <c r="B207">
        <f>IF(OR($BA2="Any",$BA2=""),1,IF('All Data'!$C207=$BA2,1,0))</f>
        <v>1</v>
      </c>
      <c r="C207">
        <f>IF(OR($BA3="Any",$BA3=""),1,IF('All Data'!$D207=$BA3,1,0))</f>
        <v>1</v>
      </c>
      <c r="D207">
        <f>IF(OR($BA4="Any",$BA4=""),1,IF('All Data'!$E207=$BA4,1,0))</f>
        <v>1</v>
      </c>
      <c r="E207">
        <f>IF(OR($BA5="Any",$BA5=""),1,IF('All Data'!$F207=$BA5,1,0))</f>
        <v>1</v>
      </c>
      <c r="F207">
        <f>IF(OR($BA6="Any",$BA6=""),1,IF('All Data'!$G207=$BA6,1,0))</f>
        <v>0</v>
      </c>
      <c r="G207">
        <f>IF(AND(OR($BA$8="",ISNUMBER(SEARCH($BA$8,'All Data'!$K207&amp;" "&amp;'All Data'!$M207))),OR($BA$9="",ISNUMBER(SEARCH($BA$9,'All Data'!$K207&amp;" "&amp;'All Data'!$M207))),OR($BA$10="",ISNUMBER(SEARCH($BA$10,'All Data'!$K207&amp;" "&amp;'All Data'!$M207))),OR($BA$11="",ISNUMBER(SEARCH($BA$11,'All Data'!$K207&amp;" "&amp;'All Data'!$M207))),OR($BA$12="",ISNUMBER(SEARCH($BA$12,'All Data'!$K207&amp;" "&amp;'All Data'!$M207))),OR($BA$13="",ISNUMBER(SEARCH($BA$13,'All Data'!$K207&amp;" "&amp;'All Data'!$M207))),OR($BA$14="",ISNUMBER(SEARCH($BA$14,'All Data'!$K207&amp;" "&amp;'All Data'!$M207))),OR($BA$15="",ISNUMBER(SEARCH($BA$15,'All Data'!$K207&amp;" "&amp;'All Data'!$M207)))),1,0)</f>
        <v>1</v>
      </c>
      <c r="H207">
        <f t="shared" si="18"/>
        <v>0</v>
      </c>
      <c r="I207">
        <f>IF(AND($H207=1,'All Data'!$C207&lt;&gt;"",COUNTIFS($H$2:H206,1,'All Data'!$C$2:$C206,'All Data'!$C207)=0),1,0)</f>
        <v>0</v>
      </c>
      <c r="J207" t="str">
        <f>IF($I207=1,SUM($I$2:I207),"")</f>
        <v/>
      </c>
      <c r="K207">
        <f t="shared" si="19"/>
        <v>0</v>
      </c>
      <c r="L207">
        <f>IF(AND($K207=1,'All Data'!$D207&lt;&gt;"",COUNTIFS($K$2:K206,1,'All Data'!$D$2:$D206,'All Data'!$D207)=0),1,0)</f>
        <v>0</v>
      </c>
      <c r="M207" t="str">
        <f>IF($L207=1,SUM($L$2:L207),"")</f>
        <v/>
      </c>
      <c r="N207">
        <f t="shared" si="20"/>
        <v>0</v>
      </c>
      <c r="O207">
        <f>IF(AND($N207=1,'All Data'!$E207&lt;&gt;"",COUNTIFS($N$2:N206,1,'All Data'!$E$2:$E206,'All Data'!$E207)=0),1,0)</f>
        <v>0</v>
      </c>
      <c r="P207" t="str">
        <f>IF($O207=1,SUM($O$2:O207),"")</f>
        <v/>
      </c>
      <c r="Q207">
        <f t="shared" si="21"/>
        <v>0</v>
      </c>
      <c r="R207">
        <f>IF(AND($Q207=1,'All Data'!$F207&lt;&gt;"",COUNTIFS($Q$2:Q206,1,'All Data'!$F$2:$F206,'All Data'!$F207)=0),1,0)</f>
        <v>0</v>
      </c>
      <c r="S207" t="str">
        <f>IF($R207=1,SUM($R$2:R207),"")</f>
        <v/>
      </c>
      <c r="T207">
        <f t="shared" si="22"/>
        <v>0</v>
      </c>
      <c r="U207">
        <f>IF(AND($T207=1,'All Data'!$G207&lt;&gt;"",COUNTIFS($T$2:T206,1,'All Data'!$G$2:$G206,'All Data'!$G207)=0),1,0)</f>
        <v>0</v>
      </c>
      <c r="V207" t="str">
        <f>IF($U207=1,SUM($U$2:U207),"")</f>
        <v/>
      </c>
      <c r="W207">
        <f t="shared" si="23"/>
        <v>0</v>
      </c>
      <c r="X207" t="str">
        <f>IF($W207=1,SUM($W$2:W207),"")</f>
        <v/>
      </c>
    </row>
    <row r="208" spans="1:24" x14ac:dyDescent="0.3">
      <c r="A208">
        <f>IF(OR($BA1="Any",$BA1=""),1,IF('All Data'!$B208=$BA1,1,0))</f>
        <v>0</v>
      </c>
      <c r="B208">
        <f>IF(OR($BA2="Any",$BA2=""),1,IF('All Data'!$C208=$BA2,1,0))</f>
        <v>1</v>
      </c>
      <c r="C208">
        <f>IF(OR($BA3="Any",$BA3=""),1,IF('All Data'!$D208=$BA3,1,0))</f>
        <v>1</v>
      </c>
      <c r="D208">
        <f>IF(OR($BA4="Any",$BA4=""),1,IF('All Data'!$E208=$BA4,1,0))</f>
        <v>1</v>
      </c>
      <c r="E208">
        <f>IF(OR($BA5="Any",$BA5=""),1,IF('All Data'!$F208=$BA5,1,0))</f>
        <v>1</v>
      </c>
      <c r="F208">
        <f>IF(OR($BA6="Any",$BA6=""),1,IF('All Data'!$G208=$BA6,1,0))</f>
        <v>0</v>
      </c>
      <c r="G208">
        <f>IF(AND(OR($BA$8="",ISNUMBER(SEARCH($BA$8,'All Data'!$K208&amp;" "&amp;'All Data'!$M208))),OR($BA$9="",ISNUMBER(SEARCH($BA$9,'All Data'!$K208&amp;" "&amp;'All Data'!$M208))),OR($BA$10="",ISNUMBER(SEARCH($BA$10,'All Data'!$K208&amp;" "&amp;'All Data'!$M208))),OR($BA$11="",ISNUMBER(SEARCH($BA$11,'All Data'!$K208&amp;" "&amp;'All Data'!$M208))),OR($BA$12="",ISNUMBER(SEARCH($BA$12,'All Data'!$K208&amp;" "&amp;'All Data'!$M208))),OR($BA$13="",ISNUMBER(SEARCH($BA$13,'All Data'!$K208&amp;" "&amp;'All Data'!$M208))),OR($BA$14="",ISNUMBER(SEARCH($BA$14,'All Data'!$K208&amp;" "&amp;'All Data'!$M208))),OR($BA$15="",ISNUMBER(SEARCH($BA$15,'All Data'!$K208&amp;" "&amp;'All Data'!$M208)))),1,0)</f>
        <v>1</v>
      </c>
      <c r="H208">
        <f t="shared" si="18"/>
        <v>0</v>
      </c>
      <c r="I208">
        <f>IF(AND($H208=1,'All Data'!$C208&lt;&gt;"",COUNTIFS($H$2:H207,1,'All Data'!$C$2:$C207,'All Data'!$C208)=0),1,0)</f>
        <v>0</v>
      </c>
      <c r="J208" t="str">
        <f>IF($I208=1,SUM($I$2:I208),"")</f>
        <v/>
      </c>
      <c r="K208">
        <f t="shared" si="19"/>
        <v>0</v>
      </c>
      <c r="L208">
        <f>IF(AND($K208=1,'All Data'!$D208&lt;&gt;"",COUNTIFS($K$2:K207,1,'All Data'!$D$2:$D207,'All Data'!$D208)=0),1,0)</f>
        <v>0</v>
      </c>
      <c r="M208" t="str">
        <f>IF($L208=1,SUM($L$2:L208),"")</f>
        <v/>
      </c>
      <c r="N208">
        <f t="shared" si="20"/>
        <v>0</v>
      </c>
      <c r="O208">
        <f>IF(AND($N208=1,'All Data'!$E208&lt;&gt;"",COUNTIFS($N$2:N207,1,'All Data'!$E$2:$E207,'All Data'!$E208)=0),1,0)</f>
        <v>0</v>
      </c>
      <c r="P208" t="str">
        <f>IF($O208=1,SUM($O$2:O208),"")</f>
        <v/>
      </c>
      <c r="Q208">
        <f t="shared" si="21"/>
        <v>0</v>
      </c>
      <c r="R208">
        <f>IF(AND($Q208=1,'All Data'!$F208&lt;&gt;"",COUNTIFS($Q$2:Q207,1,'All Data'!$F$2:$F207,'All Data'!$F208)=0),1,0)</f>
        <v>0</v>
      </c>
      <c r="S208" t="str">
        <f>IF($R208=1,SUM($R$2:R208),"")</f>
        <v/>
      </c>
      <c r="T208">
        <f t="shared" si="22"/>
        <v>0</v>
      </c>
      <c r="U208">
        <f>IF(AND($T208=1,'All Data'!$G208&lt;&gt;"",COUNTIFS($T$2:T207,1,'All Data'!$G$2:$G207,'All Data'!$G208)=0),1,0)</f>
        <v>0</v>
      </c>
      <c r="V208" t="str">
        <f>IF($U208=1,SUM($U$2:U208),"")</f>
        <v/>
      </c>
      <c r="W208">
        <f t="shared" si="23"/>
        <v>0</v>
      </c>
      <c r="X208" t="str">
        <f>IF($W208=1,SUM($W$2:W208),"")</f>
        <v/>
      </c>
    </row>
    <row r="209" spans="1:24" x14ac:dyDescent="0.3">
      <c r="A209">
        <f>IF(OR($BA1="Any",$BA1=""),1,IF('All Data'!$B209=$BA1,1,0))</f>
        <v>0</v>
      </c>
      <c r="B209">
        <f>IF(OR($BA2="Any",$BA2=""),1,IF('All Data'!$C209=$BA2,1,0))</f>
        <v>1</v>
      </c>
      <c r="C209">
        <f>IF(OR($BA3="Any",$BA3=""),1,IF('All Data'!$D209=$BA3,1,0))</f>
        <v>1</v>
      </c>
      <c r="D209">
        <f>IF(OR($BA4="Any",$BA4=""),1,IF('All Data'!$E209=$BA4,1,0))</f>
        <v>1</v>
      </c>
      <c r="E209">
        <f>IF(OR($BA5="Any",$BA5=""),1,IF('All Data'!$F209=$BA5,1,0))</f>
        <v>1</v>
      </c>
      <c r="F209">
        <f>IF(OR($BA6="Any",$BA6=""),1,IF('All Data'!$G209=$BA6,1,0))</f>
        <v>0</v>
      </c>
      <c r="G209">
        <f>IF(AND(OR($BA$8="",ISNUMBER(SEARCH($BA$8,'All Data'!$K209&amp;" "&amp;'All Data'!$M209))),OR($BA$9="",ISNUMBER(SEARCH($BA$9,'All Data'!$K209&amp;" "&amp;'All Data'!$M209))),OR($BA$10="",ISNUMBER(SEARCH($BA$10,'All Data'!$K209&amp;" "&amp;'All Data'!$M209))),OR($BA$11="",ISNUMBER(SEARCH($BA$11,'All Data'!$K209&amp;" "&amp;'All Data'!$M209))),OR($BA$12="",ISNUMBER(SEARCH($BA$12,'All Data'!$K209&amp;" "&amp;'All Data'!$M209))),OR($BA$13="",ISNUMBER(SEARCH($BA$13,'All Data'!$K209&amp;" "&amp;'All Data'!$M209))),OR($BA$14="",ISNUMBER(SEARCH($BA$14,'All Data'!$K209&amp;" "&amp;'All Data'!$M209))),OR($BA$15="",ISNUMBER(SEARCH($BA$15,'All Data'!$K209&amp;" "&amp;'All Data'!$M209)))),1,0)</f>
        <v>1</v>
      </c>
      <c r="H209">
        <f t="shared" si="18"/>
        <v>0</v>
      </c>
      <c r="I209">
        <f>IF(AND($H209=1,'All Data'!$C209&lt;&gt;"",COUNTIFS($H$2:H208,1,'All Data'!$C$2:$C208,'All Data'!$C209)=0),1,0)</f>
        <v>0</v>
      </c>
      <c r="J209" t="str">
        <f>IF($I209=1,SUM($I$2:I209),"")</f>
        <v/>
      </c>
      <c r="K209">
        <f t="shared" si="19"/>
        <v>0</v>
      </c>
      <c r="L209">
        <f>IF(AND($K209=1,'All Data'!$D209&lt;&gt;"",COUNTIFS($K$2:K208,1,'All Data'!$D$2:$D208,'All Data'!$D209)=0),1,0)</f>
        <v>0</v>
      </c>
      <c r="M209" t="str">
        <f>IF($L209=1,SUM($L$2:L209),"")</f>
        <v/>
      </c>
      <c r="N209">
        <f t="shared" si="20"/>
        <v>0</v>
      </c>
      <c r="O209">
        <f>IF(AND($N209=1,'All Data'!$E209&lt;&gt;"",COUNTIFS($N$2:N208,1,'All Data'!$E$2:$E208,'All Data'!$E209)=0),1,0)</f>
        <v>0</v>
      </c>
      <c r="P209" t="str">
        <f>IF($O209=1,SUM($O$2:O209),"")</f>
        <v/>
      </c>
      <c r="Q209">
        <f t="shared" si="21"/>
        <v>0</v>
      </c>
      <c r="R209">
        <f>IF(AND($Q209=1,'All Data'!$F209&lt;&gt;"",COUNTIFS($Q$2:Q208,1,'All Data'!$F$2:$F208,'All Data'!$F209)=0),1,0)</f>
        <v>0</v>
      </c>
      <c r="S209" t="str">
        <f>IF($R209=1,SUM($R$2:R209),"")</f>
        <v/>
      </c>
      <c r="T209">
        <f t="shared" si="22"/>
        <v>0</v>
      </c>
      <c r="U209">
        <f>IF(AND($T209=1,'All Data'!$G209&lt;&gt;"",COUNTIFS($T$2:T208,1,'All Data'!$G$2:$G208,'All Data'!$G209)=0),1,0)</f>
        <v>0</v>
      </c>
      <c r="V209" t="str">
        <f>IF($U209=1,SUM($U$2:U209),"")</f>
        <v/>
      </c>
      <c r="W209">
        <f t="shared" si="23"/>
        <v>0</v>
      </c>
      <c r="X209" t="str">
        <f>IF($W209=1,SUM($W$2:W209),"")</f>
        <v/>
      </c>
    </row>
    <row r="210" spans="1:24" x14ac:dyDescent="0.3">
      <c r="A210">
        <f>IF(OR($BA1="Any",$BA1=""),1,IF('All Data'!$B210=$BA1,1,0))</f>
        <v>0</v>
      </c>
      <c r="B210">
        <f>IF(OR($BA2="Any",$BA2=""),1,IF('All Data'!$C210=$BA2,1,0))</f>
        <v>1</v>
      </c>
      <c r="C210">
        <f>IF(OR($BA3="Any",$BA3=""),1,IF('All Data'!$D210=$BA3,1,0))</f>
        <v>1</v>
      </c>
      <c r="D210">
        <f>IF(OR($BA4="Any",$BA4=""),1,IF('All Data'!$E210=$BA4,1,0))</f>
        <v>1</v>
      </c>
      <c r="E210">
        <f>IF(OR($BA5="Any",$BA5=""),1,IF('All Data'!$F210=$BA5,1,0))</f>
        <v>1</v>
      </c>
      <c r="F210">
        <f>IF(OR($BA6="Any",$BA6=""),1,IF('All Data'!$G210=$BA6,1,0))</f>
        <v>0</v>
      </c>
      <c r="G210">
        <f>IF(AND(OR($BA$8="",ISNUMBER(SEARCH($BA$8,'All Data'!$K210&amp;" "&amp;'All Data'!$M210))),OR($BA$9="",ISNUMBER(SEARCH($BA$9,'All Data'!$K210&amp;" "&amp;'All Data'!$M210))),OR($BA$10="",ISNUMBER(SEARCH($BA$10,'All Data'!$K210&amp;" "&amp;'All Data'!$M210))),OR($BA$11="",ISNUMBER(SEARCH($BA$11,'All Data'!$K210&amp;" "&amp;'All Data'!$M210))),OR($BA$12="",ISNUMBER(SEARCH($BA$12,'All Data'!$K210&amp;" "&amp;'All Data'!$M210))),OR($BA$13="",ISNUMBER(SEARCH($BA$13,'All Data'!$K210&amp;" "&amp;'All Data'!$M210))),OR($BA$14="",ISNUMBER(SEARCH($BA$14,'All Data'!$K210&amp;" "&amp;'All Data'!$M210))),OR($BA$15="",ISNUMBER(SEARCH($BA$15,'All Data'!$K210&amp;" "&amp;'All Data'!$M210)))),1,0)</f>
        <v>1</v>
      </c>
      <c r="H210">
        <f t="shared" si="18"/>
        <v>0</v>
      </c>
      <c r="I210">
        <f>IF(AND($H210=1,'All Data'!$C210&lt;&gt;"",COUNTIFS($H$2:H209,1,'All Data'!$C$2:$C209,'All Data'!$C210)=0),1,0)</f>
        <v>0</v>
      </c>
      <c r="J210" t="str">
        <f>IF($I210=1,SUM($I$2:I210),"")</f>
        <v/>
      </c>
      <c r="K210">
        <f t="shared" si="19"/>
        <v>0</v>
      </c>
      <c r="L210">
        <f>IF(AND($K210=1,'All Data'!$D210&lt;&gt;"",COUNTIFS($K$2:K209,1,'All Data'!$D$2:$D209,'All Data'!$D210)=0),1,0)</f>
        <v>0</v>
      </c>
      <c r="M210" t="str">
        <f>IF($L210=1,SUM($L$2:L210),"")</f>
        <v/>
      </c>
      <c r="N210">
        <f t="shared" si="20"/>
        <v>0</v>
      </c>
      <c r="O210">
        <f>IF(AND($N210=1,'All Data'!$E210&lt;&gt;"",COUNTIFS($N$2:N209,1,'All Data'!$E$2:$E209,'All Data'!$E210)=0),1,0)</f>
        <v>0</v>
      </c>
      <c r="P210" t="str">
        <f>IF($O210=1,SUM($O$2:O210),"")</f>
        <v/>
      </c>
      <c r="Q210">
        <f t="shared" si="21"/>
        <v>0</v>
      </c>
      <c r="R210">
        <f>IF(AND($Q210=1,'All Data'!$F210&lt;&gt;"",COUNTIFS($Q$2:Q209,1,'All Data'!$F$2:$F209,'All Data'!$F210)=0),1,0)</f>
        <v>0</v>
      </c>
      <c r="S210" t="str">
        <f>IF($R210=1,SUM($R$2:R210),"")</f>
        <v/>
      </c>
      <c r="T210">
        <f t="shared" si="22"/>
        <v>0</v>
      </c>
      <c r="U210">
        <f>IF(AND($T210=1,'All Data'!$G210&lt;&gt;"",COUNTIFS($T$2:T209,1,'All Data'!$G$2:$G209,'All Data'!$G210)=0),1,0)</f>
        <v>0</v>
      </c>
      <c r="V210" t="str">
        <f>IF($U210=1,SUM($U$2:U210),"")</f>
        <v/>
      </c>
      <c r="W210">
        <f t="shared" si="23"/>
        <v>0</v>
      </c>
      <c r="X210" t="str">
        <f>IF($W210=1,SUM($W$2:W210),"")</f>
        <v/>
      </c>
    </row>
    <row r="211" spans="1:24" x14ac:dyDescent="0.3">
      <c r="A211">
        <f>IF(OR($BA1="Any",$BA1=""),1,IF('All Data'!$B211=$BA1,1,0))</f>
        <v>0</v>
      </c>
      <c r="B211">
        <f>IF(OR($BA2="Any",$BA2=""),1,IF('All Data'!$C211=$BA2,1,0))</f>
        <v>1</v>
      </c>
      <c r="C211">
        <f>IF(OR($BA3="Any",$BA3=""),1,IF('All Data'!$D211=$BA3,1,0))</f>
        <v>1</v>
      </c>
      <c r="D211">
        <f>IF(OR($BA4="Any",$BA4=""),1,IF('All Data'!$E211=$BA4,1,0))</f>
        <v>1</v>
      </c>
      <c r="E211">
        <f>IF(OR($BA5="Any",$BA5=""),1,IF('All Data'!$F211=$BA5,1,0))</f>
        <v>1</v>
      </c>
      <c r="F211">
        <f>IF(OR($BA6="Any",$BA6=""),1,IF('All Data'!$G211=$BA6,1,0))</f>
        <v>0</v>
      </c>
      <c r="G211">
        <f>IF(AND(OR($BA$8="",ISNUMBER(SEARCH($BA$8,'All Data'!$K211&amp;" "&amp;'All Data'!$M211))),OR($BA$9="",ISNUMBER(SEARCH($BA$9,'All Data'!$K211&amp;" "&amp;'All Data'!$M211))),OR($BA$10="",ISNUMBER(SEARCH($BA$10,'All Data'!$K211&amp;" "&amp;'All Data'!$M211))),OR($BA$11="",ISNUMBER(SEARCH($BA$11,'All Data'!$K211&amp;" "&amp;'All Data'!$M211))),OR($BA$12="",ISNUMBER(SEARCH($BA$12,'All Data'!$K211&amp;" "&amp;'All Data'!$M211))),OR($BA$13="",ISNUMBER(SEARCH($BA$13,'All Data'!$K211&amp;" "&amp;'All Data'!$M211))),OR($BA$14="",ISNUMBER(SEARCH($BA$14,'All Data'!$K211&amp;" "&amp;'All Data'!$M211))),OR($BA$15="",ISNUMBER(SEARCH($BA$15,'All Data'!$K211&amp;" "&amp;'All Data'!$M211)))),1,0)</f>
        <v>1</v>
      </c>
      <c r="H211">
        <f t="shared" si="18"/>
        <v>0</v>
      </c>
      <c r="I211">
        <f>IF(AND($H211=1,'All Data'!$C211&lt;&gt;"",COUNTIFS($H$2:H210,1,'All Data'!$C$2:$C210,'All Data'!$C211)=0),1,0)</f>
        <v>0</v>
      </c>
      <c r="J211" t="str">
        <f>IF($I211=1,SUM($I$2:I211),"")</f>
        <v/>
      </c>
      <c r="K211">
        <f t="shared" si="19"/>
        <v>0</v>
      </c>
      <c r="L211">
        <f>IF(AND($K211=1,'All Data'!$D211&lt;&gt;"",COUNTIFS($K$2:K210,1,'All Data'!$D$2:$D210,'All Data'!$D211)=0),1,0)</f>
        <v>0</v>
      </c>
      <c r="M211" t="str">
        <f>IF($L211=1,SUM($L$2:L211),"")</f>
        <v/>
      </c>
      <c r="N211">
        <f t="shared" si="20"/>
        <v>0</v>
      </c>
      <c r="O211">
        <f>IF(AND($N211=1,'All Data'!$E211&lt;&gt;"",COUNTIFS($N$2:N210,1,'All Data'!$E$2:$E210,'All Data'!$E211)=0),1,0)</f>
        <v>0</v>
      </c>
      <c r="P211" t="str">
        <f>IF($O211=1,SUM($O$2:O211),"")</f>
        <v/>
      </c>
      <c r="Q211">
        <f t="shared" si="21"/>
        <v>0</v>
      </c>
      <c r="R211">
        <f>IF(AND($Q211=1,'All Data'!$F211&lt;&gt;"",COUNTIFS($Q$2:Q210,1,'All Data'!$F$2:$F210,'All Data'!$F211)=0),1,0)</f>
        <v>0</v>
      </c>
      <c r="S211" t="str">
        <f>IF($R211=1,SUM($R$2:R211),"")</f>
        <v/>
      </c>
      <c r="T211">
        <f t="shared" si="22"/>
        <v>0</v>
      </c>
      <c r="U211">
        <f>IF(AND($T211=1,'All Data'!$G211&lt;&gt;"",COUNTIFS($T$2:T210,1,'All Data'!$G$2:$G210,'All Data'!$G211)=0),1,0)</f>
        <v>0</v>
      </c>
      <c r="V211" t="str">
        <f>IF($U211=1,SUM($U$2:U211),"")</f>
        <v/>
      </c>
      <c r="W211">
        <f t="shared" si="23"/>
        <v>0</v>
      </c>
      <c r="X211" t="str">
        <f>IF($W211=1,SUM($W$2:W211),"")</f>
        <v/>
      </c>
    </row>
    <row r="212" spans="1:24" x14ac:dyDescent="0.3">
      <c r="A212">
        <f>IF(OR($BA1="Any",$BA1=""),1,IF('All Data'!$B212=$BA1,1,0))</f>
        <v>0</v>
      </c>
      <c r="B212">
        <f>IF(OR($BA2="Any",$BA2=""),1,IF('All Data'!$C212=$BA2,1,0))</f>
        <v>1</v>
      </c>
      <c r="C212">
        <f>IF(OR($BA3="Any",$BA3=""),1,IF('All Data'!$D212=$BA3,1,0))</f>
        <v>1</v>
      </c>
      <c r="D212">
        <f>IF(OR($BA4="Any",$BA4=""),1,IF('All Data'!$E212=$BA4,1,0))</f>
        <v>1</v>
      </c>
      <c r="E212">
        <f>IF(OR($BA5="Any",$BA5=""),1,IF('All Data'!$F212=$BA5,1,0))</f>
        <v>1</v>
      </c>
      <c r="F212">
        <f>IF(OR($BA6="Any",$BA6=""),1,IF('All Data'!$G212=$BA6,1,0))</f>
        <v>0</v>
      </c>
      <c r="G212">
        <f>IF(AND(OR($BA$8="",ISNUMBER(SEARCH($BA$8,'All Data'!$K212&amp;" "&amp;'All Data'!$M212))),OR($BA$9="",ISNUMBER(SEARCH($BA$9,'All Data'!$K212&amp;" "&amp;'All Data'!$M212))),OR($BA$10="",ISNUMBER(SEARCH($BA$10,'All Data'!$K212&amp;" "&amp;'All Data'!$M212))),OR($BA$11="",ISNUMBER(SEARCH($BA$11,'All Data'!$K212&amp;" "&amp;'All Data'!$M212))),OR($BA$12="",ISNUMBER(SEARCH($BA$12,'All Data'!$K212&amp;" "&amp;'All Data'!$M212))),OR($BA$13="",ISNUMBER(SEARCH($BA$13,'All Data'!$K212&amp;" "&amp;'All Data'!$M212))),OR($BA$14="",ISNUMBER(SEARCH($BA$14,'All Data'!$K212&amp;" "&amp;'All Data'!$M212))),OR($BA$15="",ISNUMBER(SEARCH($BA$15,'All Data'!$K212&amp;" "&amp;'All Data'!$M212)))),1,0)</f>
        <v>1</v>
      </c>
      <c r="H212">
        <f t="shared" si="18"/>
        <v>0</v>
      </c>
      <c r="I212">
        <f>IF(AND($H212=1,'All Data'!$C212&lt;&gt;"",COUNTIFS($H$2:H211,1,'All Data'!$C$2:$C211,'All Data'!$C212)=0),1,0)</f>
        <v>0</v>
      </c>
      <c r="J212" t="str">
        <f>IF($I212=1,SUM($I$2:I212),"")</f>
        <v/>
      </c>
      <c r="K212">
        <f t="shared" si="19"/>
        <v>0</v>
      </c>
      <c r="L212">
        <f>IF(AND($K212=1,'All Data'!$D212&lt;&gt;"",COUNTIFS($K$2:K211,1,'All Data'!$D$2:$D211,'All Data'!$D212)=0),1,0)</f>
        <v>0</v>
      </c>
      <c r="M212" t="str">
        <f>IF($L212=1,SUM($L$2:L212),"")</f>
        <v/>
      </c>
      <c r="N212">
        <f t="shared" si="20"/>
        <v>0</v>
      </c>
      <c r="O212">
        <f>IF(AND($N212=1,'All Data'!$E212&lt;&gt;"",COUNTIFS($N$2:N211,1,'All Data'!$E$2:$E211,'All Data'!$E212)=0),1,0)</f>
        <v>0</v>
      </c>
      <c r="P212" t="str">
        <f>IF($O212=1,SUM($O$2:O212),"")</f>
        <v/>
      </c>
      <c r="Q212">
        <f t="shared" si="21"/>
        <v>0</v>
      </c>
      <c r="R212">
        <f>IF(AND($Q212=1,'All Data'!$F212&lt;&gt;"",COUNTIFS($Q$2:Q211,1,'All Data'!$F$2:$F211,'All Data'!$F212)=0),1,0)</f>
        <v>0</v>
      </c>
      <c r="S212" t="str">
        <f>IF($R212=1,SUM($R$2:R212),"")</f>
        <v/>
      </c>
      <c r="T212">
        <f t="shared" si="22"/>
        <v>0</v>
      </c>
      <c r="U212">
        <f>IF(AND($T212=1,'All Data'!$G212&lt;&gt;"",COUNTIFS($T$2:T211,1,'All Data'!$G$2:$G211,'All Data'!$G212)=0),1,0)</f>
        <v>0</v>
      </c>
      <c r="V212" t="str">
        <f>IF($U212=1,SUM($U$2:U212),"")</f>
        <v/>
      </c>
      <c r="W212">
        <f t="shared" si="23"/>
        <v>0</v>
      </c>
      <c r="X212" t="str">
        <f>IF($W212=1,SUM($W$2:W212),"")</f>
        <v/>
      </c>
    </row>
    <row r="213" spans="1:24" x14ac:dyDescent="0.3">
      <c r="A213">
        <f>IF(OR($BA1="Any",$BA1=""),1,IF('All Data'!$B213=$BA1,1,0))</f>
        <v>0</v>
      </c>
      <c r="B213">
        <f>IF(OR($BA2="Any",$BA2=""),1,IF('All Data'!$C213=$BA2,1,0))</f>
        <v>1</v>
      </c>
      <c r="C213">
        <f>IF(OR($BA3="Any",$BA3=""),1,IF('All Data'!$D213=$BA3,1,0))</f>
        <v>1</v>
      </c>
      <c r="D213">
        <f>IF(OR($BA4="Any",$BA4=""),1,IF('All Data'!$E213=$BA4,1,0))</f>
        <v>1</v>
      </c>
      <c r="E213">
        <f>IF(OR($BA5="Any",$BA5=""),1,IF('All Data'!$F213=$BA5,1,0))</f>
        <v>1</v>
      </c>
      <c r="F213">
        <f>IF(OR($BA6="Any",$BA6=""),1,IF('All Data'!$G213=$BA6,1,0))</f>
        <v>0</v>
      </c>
      <c r="G213">
        <f>IF(AND(OR($BA$8="",ISNUMBER(SEARCH($BA$8,'All Data'!$K213&amp;" "&amp;'All Data'!$M213))),OR($BA$9="",ISNUMBER(SEARCH($BA$9,'All Data'!$K213&amp;" "&amp;'All Data'!$M213))),OR($BA$10="",ISNUMBER(SEARCH($BA$10,'All Data'!$K213&amp;" "&amp;'All Data'!$M213))),OR($BA$11="",ISNUMBER(SEARCH($BA$11,'All Data'!$K213&amp;" "&amp;'All Data'!$M213))),OR($BA$12="",ISNUMBER(SEARCH($BA$12,'All Data'!$K213&amp;" "&amp;'All Data'!$M213))),OR($BA$13="",ISNUMBER(SEARCH($BA$13,'All Data'!$K213&amp;" "&amp;'All Data'!$M213))),OR($BA$14="",ISNUMBER(SEARCH($BA$14,'All Data'!$K213&amp;" "&amp;'All Data'!$M213))),OR($BA$15="",ISNUMBER(SEARCH($BA$15,'All Data'!$K213&amp;" "&amp;'All Data'!$M213)))),1,0)</f>
        <v>1</v>
      </c>
      <c r="H213">
        <f t="shared" si="18"/>
        <v>0</v>
      </c>
      <c r="I213">
        <f>IF(AND($H213=1,'All Data'!$C213&lt;&gt;"",COUNTIFS($H$2:H212,1,'All Data'!$C$2:$C212,'All Data'!$C213)=0),1,0)</f>
        <v>0</v>
      </c>
      <c r="J213" t="str">
        <f>IF($I213=1,SUM($I$2:I213),"")</f>
        <v/>
      </c>
      <c r="K213">
        <f t="shared" si="19"/>
        <v>0</v>
      </c>
      <c r="L213">
        <f>IF(AND($K213=1,'All Data'!$D213&lt;&gt;"",COUNTIFS($K$2:K212,1,'All Data'!$D$2:$D212,'All Data'!$D213)=0),1,0)</f>
        <v>0</v>
      </c>
      <c r="M213" t="str">
        <f>IF($L213=1,SUM($L$2:L213),"")</f>
        <v/>
      </c>
      <c r="N213">
        <f t="shared" si="20"/>
        <v>0</v>
      </c>
      <c r="O213">
        <f>IF(AND($N213=1,'All Data'!$E213&lt;&gt;"",COUNTIFS($N$2:N212,1,'All Data'!$E$2:$E212,'All Data'!$E213)=0),1,0)</f>
        <v>0</v>
      </c>
      <c r="P213" t="str">
        <f>IF($O213=1,SUM($O$2:O213),"")</f>
        <v/>
      </c>
      <c r="Q213">
        <f t="shared" si="21"/>
        <v>0</v>
      </c>
      <c r="R213">
        <f>IF(AND($Q213=1,'All Data'!$F213&lt;&gt;"",COUNTIFS($Q$2:Q212,1,'All Data'!$F$2:$F212,'All Data'!$F213)=0),1,0)</f>
        <v>0</v>
      </c>
      <c r="S213" t="str">
        <f>IF($R213=1,SUM($R$2:R213),"")</f>
        <v/>
      </c>
      <c r="T213">
        <f t="shared" si="22"/>
        <v>0</v>
      </c>
      <c r="U213">
        <f>IF(AND($T213=1,'All Data'!$G213&lt;&gt;"",COUNTIFS($T$2:T212,1,'All Data'!$G$2:$G212,'All Data'!$G213)=0),1,0)</f>
        <v>0</v>
      </c>
      <c r="V213" t="str">
        <f>IF($U213=1,SUM($U$2:U213),"")</f>
        <v/>
      </c>
      <c r="W213">
        <f t="shared" si="23"/>
        <v>0</v>
      </c>
      <c r="X213" t="str">
        <f>IF($W213=1,SUM($W$2:W213),"")</f>
        <v/>
      </c>
    </row>
    <row r="214" spans="1:24" x14ac:dyDescent="0.3">
      <c r="A214">
        <f>IF(OR($BA1="Any",$BA1=""),1,IF('All Data'!$B214=$BA1,1,0))</f>
        <v>0</v>
      </c>
      <c r="B214">
        <f>IF(OR($BA2="Any",$BA2=""),1,IF('All Data'!$C214=$BA2,1,0))</f>
        <v>1</v>
      </c>
      <c r="C214">
        <f>IF(OR($BA3="Any",$BA3=""),1,IF('All Data'!$D214=$BA3,1,0))</f>
        <v>1</v>
      </c>
      <c r="D214">
        <f>IF(OR($BA4="Any",$BA4=""),1,IF('All Data'!$E214=$BA4,1,0))</f>
        <v>1</v>
      </c>
      <c r="E214">
        <f>IF(OR($BA5="Any",$BA5=""),1,IF('All Data'!$F214=$BA5,1,0))</f>
        <v>1</v>
      </c>
      <c r="F214">
        <f>IF(OR($BA6="Any",$BA6=""),1,IF('All Data'!$G214=$BA6,1,0))</f>
        <v>0</v>
      </c>
      <c r="G214">
        <f>IF(AND(OR($BA$8="",ISNUMBER(SEARCH($BA$8,'All Data'!$K214&amp;" "&amp;'All Data'!$M214))),OR($BA$9="",ISNUMBER(SEARCH($BA$9,'All Data'!$K214&amp;" "&amp;'All Data'!$M214))),OR($BA$10="",ISNUMBER(SEARCH($BA$10,'All Data'!$K214&amp;" "&amp;'All Data'!$M214))),OR($BA$11="",ISNUMBER(SEARCH($BA$11,'All Data'!$K214&amp;" "&amp;'All Data'!$M214))),OR($BA$12="",ISNUMBER(SEARCH($BA$12,'All Data'!$K214&amp;" "&amp;'All Data'!$M214))),OR($BA$13="",ISNUMBER(SEARCH($BA$13,'All Data'!$K214&amp;" "&amp;'All Data'!$M214))),OR($BA$14="",ISNUMBER(SEARCH($BA$14,'All Data'!$K214&amp;" "&amp;'All Data'!$M214))),OR($BA$15="",ISNUMBER(SEARCH($BA$15,'All Data'!$K214&amp;" "&amp;'All Data'!$M214)))),1,0)</f>
        <v>1</v>
      </c>
      <c r="H214">
        <f t="shared" si="18"/>
        <v>0</v>
      </c>
      <c r="I214">
        <f>IF(AND($H214=1,'All Data'!$C214&lt;&gt;"",COUNTIFS($H$2:H213,1,'All Data'!$C$2:$C213,'All Data'!$C214)=0),1,0)</f>
        <v>0</v>
      </c>
      <c r="J214" t="str">
        <f>IF($I214=1,SUM($I$2:I214),"")</f>
        <v/>
      </c>
      <c r="K214">
        <f t="shared" si="19"/>
        <v>0</v>
      </c>
      <c r="L214">
        <f>IF(AND($K214=1,'All Data'!$D214&lt;&gt;"",COUNTIFS($K$2:K213,1,'All Data'!$D$2:$D213,'All Data'!$D214)=0),1,0)</f>
        <v>0</v>
      </c>
      <c r="M214" t="str">
        <f>IF($L214=1,SUM($L$2:L214),"")</f>
        <v/>
      </c>
      <c r="N214">
        <f t="shared" si="20"/>
        <v>0</v>
      </c>
      <c r="O214">
        <f>IF(AND($N214=1,'All Data'!$E214&lt;&gt;"",COUNTIFS($N$2:N213,1,'All Data'!$E$2:$E213,'All Data'!$E214)=0),1,0)</f>
        <v>0</v>
      </c>
      <c r="P214" t="str">
        <f>IF($O214=1,SUM($O$2:O214),"")</f>
        <v/>
      </c>
      <c r="Q214">
        <f t="shared" si="21"/>
        <v>0</v>
      </c>
      <c r="R214">
        <f>IF(AND($Q214=1,'All Data'!$F214&lt;&gt;"",COUNTIFS($Q$2:Q213,1,'All Data'!$F$2:$F213,'All Data'!$F214)=0),1,0)</f>
        <v>0</v>
      </c>
      <c r="S214" t="str">
        <f>IF($R214=1,SUM($R$2:R214),"")</f>
        <v/>
      </c>
      <c r="T214">
        <f t="shared" si="22"/>
        <v>0</v>
      </c>
      <c r="U214">
        <f>IF(AND($T214=1,'All Data'!$G214&lt;&gt;"",COUNTIFS($T$2:T213,1,'All Data'!$G$2:$G213,'All Data'!$G214)=0),1,0)</f>
        <v>0</v>
      </c>
      <c r="V214" t="str">
        <f>IF($U214=1,SUM($U$2:U214),"")</f>
        <v/>
      </c>
      <c r="W214">
        <f t="shared" si="23"/>
        <v>0</v>
      </c>
      <c r="X214" t="str">
        <f>IF($W214=1,SUM($W$2:W214),"")</f>
        <v/>
      </c>
    </row>
    <row r="215" spans="1:24" x14ac:dyDescent="0.3">
      <c r="A215">
        <f>IF(OR($BA1="Any",$BA1=""),1,IF('All Data'!$B215=$BA1,1,0))</f>
        <v>0</v>
      </c>
      <c r="B215">
        <f>IF(OR($BA2="Any",$BA2=""),1,IF('All Data'!$C215=$BA2,1,0))</f>
        <v>1</v>
      </c>
      <c r="C215">
        <f>IF(OR($BA3="Any",$BA3=""),1,IF('All Data'!$D215=$BA3,1,0))</f>
        <v>1</v>
      </c>
      <c r="D215">
        <f>IF(OR($BA4="Any",$BA4=""),1,IF('All Data'!$E215=$BA4,1,0))</f>
        <v>1</v>
      </c>
      <c r="E215">
        <f>IF(OR($BA5="Any",$BA5=""),1,IF('All Data'!$F215=$BA5,1,0))</f>
        <v>1</v>
      </c>
      <c r="F215">
        <f>IF(OR($BA6="Any",$BA6=""),1,IF('All Data'!$G215=$BA6,1,0))</f>
        <v>0</v>
      </c>
      <c r="G215">
        <f>IF(AND(OR($BA$8="",ISNUMBER(SEARCH($BA$8,'All Data'!$K215&amp;" "&amp;'All Data'!$M215))),OR($BA$9="",ISNUMBER(SEARCH($BA$9,'All Data'!$K215&amp;" "&amp;'All Data'!$M215))),OR($BA$10="",ISNUMBER(SEARCH($BA$10,'All Data'!$K215&amp;" "&amp;'All Data'!$M215))),OR($BA$11="",ISNUMBER(SEARCH($BA$11,'All Data'!$K215&amp;" "&amp;'All Data'!$M215))),OR($BA$12="",ISNUMBER(SEARCH($BA$12,'All Data'!$K215&amp;" "&amp;'All Data'!$M215))),OR($BA$13="",ISNUMBER(SEARCH($BA$13,'All Data'!$K215&amp;" "&amp;'All Data'!$M215))),OR($BA$14="",ISNUMBER(SEARCH($BA$14,'All Data'!$K215&amp;" "&amp;'All Data'!$M215))),OR($BA$15="",ISNUMBER(SEARCH($BA$15,'All Data'!$K215&amp;" "&amp;'All Data'!$M215)))),1,0)</f>
        <v>1</v>
      </c>
      <c r="H215">
        <f t="shared" si="18"/>
        <v>0</v>
      </c>
      <c r="I215">
        <f>IF(AND($H215=1,'All Data'!$C215&lt;&gt;"",COUNTIFS($H$2:H214,1,'All Data'!$C$2:$C214,'All Data'!$C215)=0),1,0)</f>
        <v>0</v>
      </c>
      <c r="J215" t="str">
        <f>IF($I215=1,SUM($I$2:I215),"")</f>
        <v/>
      </c>
      <c r="K215">
        <f t="shared" si="19"/>
        <v>0</v>
      </c>
      <c r="L215">
        <f>IF(AND($K215=1,'All Data'!$D215&lt;&gt;"",COUNTIFS($K$2:K214,1,'All Data'!$D$2:$D214,'All Data'!$D215)=0),1,0)</f>
        <v>0</v>
      </c>
      <c r="M215" t="str">
        <f>IF($L215=1,SUM($L$2:L215),"")</f>
        <v/>
      </c>
      <c r="N215">
        <f t="shared" si="20"/>
        <v>0</v>
      </c>
      <c r="O215">
        <f>IF(AND($N215=1,'All Data'!$E215&lt;&gt;"",COUNTIFS($N$2:N214,1,'All Data'!$E$2:$E214,'All Data'!$E215)=0),1,0)</f>
        <v>0</v>
      </c>
      <c r="P215" t="str">
        <f>IF($O215=1,SUM($O$2:O215),"")</f>
        <v/>
      </c>
      <c r="Q215">
        <f t="shared" si="21"/>
        <v>0</v>
      </c>
      <c r="R215">
        <f>IF(AND($Q215=1,'All Data'!$F215&lt;&gt;"",COUNTIFS($Q$2:Q214,1,'All Data'!$F$2:$F214,'All Data'!$F215)=0),1,0)</f>
        <v>0</v>
      </c>
      <c r="S215" t="str">
        <f>IF($R215=1,SUM($R$2:R215),"")</f>
        <v/>
      </c>
      <c r="T215">
        <f t="shared" si="22"/>
        <v>0</v>
      </c>
      <c r="U215">
        <f>IF(AND($T215=1,'All Data'!$G215&lt;&gt;"",COUNTIFS($T$2:T214,1,'All Data'!$G$2:$G214,'All Data'!$G215)=0),1,0)</f>
        <v>0</v>
      </c>
      <c r="V215" t="str">
        <f>IF($U215=1,SUM($U$2:U215),"")</f>
        <v/>
      </c>
      <c r="W215">
        <f t="shared" si="23"/>
        <v>0</v>
      </c>
      <c r="X215" t="str">
        <f>IF($W215=1,SUM($W$2:W215),"")</f>
        <v/>
      </c>
    </row>
    <row r="216" spans="1:24" x14ac:dyDescent="0.3">
      <c r="A216">
        <f>IF(OR($BA1="Any",$BA1=""),1,IF('All Data'!$B216=$BA1,1,0))</f>
        <v>0</v>
      </c>
      <c r="B216">
        <f>IF(OR($BA2="Any",$BA2=""),1,IF('All Data'!$C216=$BA2,1,0))</f>
        <v>1</v>
      </c>
      <c r="C216">
        <f>IF(OR($BA3="Any",$BA3=""),1,IF('All Data'!$D216=$BA3,1,0))</f>
        <v>1</v>
      </c>
      <c r="D216">
        <f>IF(OR($BA4="Any",$BA4=""),1,IF('All Data'!$E216=$BA4,1,0))</f>
        <v>1</v>
      </c>
      <c r="E216">
        <f>IF(OR($BA5="Any",$BA5=""),1,IF('All Data'!$F216=$BA5,1,0))</f>
        <v>1</v>
      </c>
      <c r="F216">
        <f>IF(OR($BA6="Any",$BA6=""),1,IF('All Data'!$G216=$BA6,1,0))</f>
        <v>0</v>
      </c>
      <c r="G216">
        <f>IF(AND(OR($BA$8="",ISNUMBER(SEARCH($BA$8,'All Data'!$K216&amp;" "&amp;'All Data'!$M216))),OR($BA$9="",ISNUMBER(SEARCH($BA$9,'All Data'!$K216&amp;" "&amp;'All Data'!$M216))),OR($BA$10="",ISNUMBER(SEARCH($BA$10,'All Data'!$K216&amp;" "&amp;'All Data'!$M216))),OR($BA$11="",ISNUMBER(SEARCH($BA$11,'All Data'!$K216&amp;" "&amp;'All Data'!$M216))),OR($BA$12="",ISNUMBER(SEARCH($BA$12,'All Data'!$K216&amp;" "&amp;'All Data'!$M216))),OR($BA$13="",ISNUMBER(SEARCH($BA$13,'All Data'!$K216&amp;" "&amp;'All Data'!$M216))),OR($BA$14="",ISNUMBER(SEARCH($BA$14,'All Data'!$K216&amp;" "&amp;'All Data'!$M216))),OR($BA$15="",ISNUMBER(SEARCH($BA$15,'All Data'!$K216&amp;" "&amp;'All Data'!$M216)))),1,0)</f>
        <v>1</v>
      </c>
      <c r="H216">
        <f t="shared" si="18"/>
        <v>0</v>
      </c>
      <c r="I216">
        <f>IF(AND($H216=1,'All Data'!$C216&lt;&gt;"",COUNTIFS($H$2:H215,1,'All Data'!$C$2:$C215,'All Data'!$C216)=0),1,0)</f>
        <v>0</v>
      </c>
      <c r="J216" t="str">
        <f>IF($I216=1,SUM($I$2:I216),"")</f>
        <v/>
      </c>
      <c r="K216">
        <f t="shared" si="19"/>
        <v>0</v>
      </c>
      <c r="L216">
        <f>IF(AND($K216=1,'All Data'!$D216&lt;&gt;"",COUNTIFS($K$2:K215,1,'All Data'!$D$2:$D215,'All Data'!$D216)=0),1,0)</f>
        <v>0</v>
      </c>
      <c r="M216" t="str">
        <f>IF($L216=1,SUM($L$2:L216),"")</f>
        <v/>
      </c>
      <c r="N216">
        <f t="shared" si="20"/>
        <v>0</v>
      </c>
      <c r="O216">
        <f>IF(AND($N216=1,'All Data'!$E216&lt;&gt;"",COUNTIFS($N$2:N215,1,'All Data'!$E$2:$E215,'All Data'!$E216)=0),1,0)</f>
        <v>0</v>
      </c>
      <c r="P216" t="str">
        <f>IF($O216=1,SUM($O$2:O216),"")</f>
        <v/>
      </c>
      <c r="Q216">
        <f t="shared" si="21"/>
        <v>0</v>
      </c>
      <c r="R216">
        <f>IF(AND($Q216=1,'All Data'!$F216&lt;&gt;"",COUNTIFS($Q$2:Q215,1,'All Data'!$F$2:$F215,'All Data'!$F216)=0),1,0)</f>
        <v>0</v>
      </c>
      <c r="S216" t="str">
        <f>IF($R216=1,SUM($R$2:R216),"")</f>
        <v/>
      </c>
      <c r="T216">
        <f t="shared" si="22"/>
        <v>0</v>
      </c>
      <c r="U216">
        <f>IF(AND($T216=1,'All Data'!$G216&lt;&gt;"",COUNTIFS($T$2:T215,1,'All Data'!$G$2:$G215,'All Data'!$G216)=0),1,0)</f>
        <v>0</v>
      </c>
      <c r="V216" t="str">
        <f>IF($U216=1,SUM($U$2:U216),"")</f>
        <v/>
      </c>
      <c r="W216">
        <f t="shared" si="23"/>
        <v>0</v>
      </c>
      <c r="X216" t="str">
        <f>IF($W216=1,SUM($W$2:W216),"")</f>
        <v/>
      </c>
    </row>
    <row r="217" spans="1:24" x14ac:dyDescent="0.3">
      <c r="A217">
        <f>IF(OR($BA1="Any",$BA1=""),1,IF('All Data'!$B217=$BA1,1,0))</f>
        <v>0</v>
      </c>
      <c r="B217">
        <f>IF(OR($BA2="Any",$BA2=""),1,IF('All Data'!$C217=$BA2,1,0))</f>
        <v>1</v>
      </c>
      <c r="C217">
        <f>IF(OR($BA3="Any",$BA3=""),1,IF('All Data'!$D217=$BA3,1,0))</f>
        <v>1</v>
      </c>
      <c r="D217">
        <f>IF(OR($BA4="Any",$BA4=""),1,IF('All Data'!$E217=$BA4,1,0))</f>
        <v>1</v>
      </c>
      <c r="E217">
        <f>IF(OR($BA5="Any",$BA5=""),1,IF('All Data'!$F217=$BA5,1,0))</f>
        <v>1</v>
      </c>
      <c r="F217">
        <f>IF(OR($BA6="Any",$BA6=""),1,IF('All Data'!$G217=$BA6,1,0))</f>
        <v>0</v>
      </c>
      <c r="G217">
        <f>IF(AND(OR($BA$8="",ISNUMBER(SEARCH($BA$8,'All Data'!$K217&amp;" "&amp;'All Data'!$M217))),OR($BA$9="",ISNUMBER(SEARCH($BA$9,'All Data'!$K217&amp;" "&amp;'All Data'!$M217))),OR($BA$10="",ISNUMBER(SEARCH($BA$10,'All Data'!$K217&amp;" "&amp;'All Data'!$M217))),OR($BA$11="",ISNUMBER(SEARCH($BA$11,'All Data'!$K217&amp;" "&amp;'All Data'!$M217))),OR($BA$12="",ISNUMBER(SEARCH($BA$12,'All Data'!$K217&amp;" "&amp;'All Data'!$M217))),OR($BA$13="",ISNUMBER(SEARCH($BA$13,'All Data'!$K217&amp;" "&amp;'All Data'!$M217))),OR($BA$14="",ISNUMBER(SEARCH($BA$14,'All Data'!$K217&amp;" "&amp;'All Data'!$M217))),OR($BA$15="",ISNUMBER(SEARCH($BA$15,'All Data'!$K217&amp;" "&amp;'All Data'!$M217)))),1,0)</f>
        <v>1</v>
      </c>
      <c r="H217">
        <f t="shared" si="18"/>
        <v>0</v>
      </c>
      <c r="I217">
        <f>IF(AND($H217=1,'All Data'!$C217&lt;&gt;"",COUNTIFS($H$2:H216,1,'All Data'!$C$2:$C216,'All Data'!$C217)=0),1,0)</f>
        <v>0</v>
      </c>
      <c r="J217" t="str">
        <f>IF($I217=1,SUM($I$2:I217),"")</f>
        <v/>
      </c>
      <c r="K217">
        <f t="shared" si="19"/>
        <v>0</v>
      </c>
      <c r="L217">
        <f>IF(AND($K217=1,'All Data'!$D217&lt;&gt;"",COUNTIFS($K$2:K216,1,'All Data'!$D$2:$D216,'All Data'!$D217)=0),1,0)</f>
        <v>0</v>
      </c>
      <c r="M217" t="str">
        <f>IF($L217=1,SUM($L$2:L217),"")</f>
        <v/>
      </c>
      <c r="N217">
        <f t="shared" si="20"/>
        <v>0</v>
      </c>
      <c r="O217">
        <f>IF(AND($N217=1,'All Data'!$E217&lt;&gt;"",COUNTIFS($N$2:N216,1,'All Data'!$E$2:$E216,'All Data'!$E217)=0),1,0)</f>
        <v>0</v>
      </c>
      <c r="P217" t="str">
        <f>IF($O217=1,SUM($O$2:O217),"")</f>
        <v/>
      </c>
      <c r="Q217">
        <f t="shared" si="21"/>
        <v>0</v>
      </c>
      <c r="R217">
        <f>IF(AND($Q217=1,'All Data'!$F217&lt;&gt;"",COUNTIFS($Q$2:Q216,1,'All Data'!$F$2:$F216,'All Data'!$F217)=0),1,0)</f>
        <v>0</v>
      </c>
      <c r="S217" t="str">
        <f>IF($R217=1,SUM($R$2:R217),"")</f>
        <v/>
      </c>
      <c r="T217">
        <f t="shared" si="22"/>
        <v>0</v>
      </c>
      <c r="U217">
        <f>IF(AND($T217=1,'All Data'!$G217&lt;&gt;"",COUNTIFS($T$2:T216,1,'All Data'!$G$2:$G216,'All Data'!$G217)=0),1,0)</f>
        <v>0</v>
      </c>
      <c r="V217" t="str">
        <f>IF($U217=1,SUM($U$2:U217),"")</f>
        <v/>
      </c>
      <c r="W217">
        <f t="shared" si="23"/>
        <v>0</v>
      </c>
      <c r="X217" t="str">
        <f>IF($W217=1,SUM($W$2:W217),"")</f>
        <v/>
      </c>
    </row>
    <row r="218" spans="1:24" x14ac:dyDescent="0.3">
      <c r="A218">
        <f>IF(OR($BA1="Any",$BA1=""),1,IF('All Data'!$B218=$BA1,1,0))</f>
        <v>0</v>
      </c>
      <c r="B218">
        <f>IF(OR($BA2="Any",$BA2=""),1,IF('All Data'!$C218=$BA2,1,0))</f>
        <v>1</v>
      </c>
      <c r="C218">
        <f>IF(OR($BA3="Any",$BA3=""),1,IF('All Data'!$D218=$BA3,1,0))</f>
        <v>1</v>
      </c>
      <c r="D218">
        <f>IF(OR($BA4="Any",$BA4=""),1,IF('All Data'!$E218=$BA4,1,0))</f>
        <v>1</v>
      </c>
      <c r="E218">
        <f>IF(OR($BA5="Any",$BA5=""),1,IF('All Data'!$F218=$BA5,1,0))</f>
        <v>1</v>
      </c>
      <c r="F218">
        <f>IF(OR($BA6="Any",$BA6=""),1,IF('All Data'!$G218=$BA6,1,0))</f>
        <v>0</v>
      </c>
      <c r="G218">
        <f>IF(AND(OR($BA$8="",ISNUMBER(SEARCH($BA$8,'All Data'!$K218&amp;" "&amp;'All Data'!$M218))),OR($BA$9="",ISNUMBER(SEARCH($BA$9,'All Data'!$K218&amp;" "&amp;'All Data'!$M218))),OR($BA$10="",ISNUMBER(SEARCH($BA$10,'All Data'!$K218&amp;" "&amp;'All Data'!$M218))),OR($BA$11="",ISNUMBER(SEARCH($BA$11,'All Data'!$K218&amp;" "&amp;'All Data'!$M218))),OR($BA$12="",ISNUMBER(SEARCH($BA$12,'All Data'!$K218&amp;" "&amp;'All Data'!$M218))),OR($BA$13="",ISNUMBER(SEARCH($BA$13,'All Data'!$K218&amp;" "&amp;'All Data'!$M218))),OR($BA$14="",ISNUMBER(SEARCH($BA$14,'All Data'!$K218&amp;" "&amp;'All Data'!$M218))),OR($BA$15="",ISNUMBER(SEARCH($BA$15,'All Data'!$K218&amp;" "&amp;'All Data'!$M218)))),1,0)</f>
        <v>1</v>
      </c>
      <c r="H218">
        <f t="shared" si="18"/>
        <v>0</v>
      </c>
      <c r="I218">
        <f>IF(AND($H218=1,'All Data'!$C218&lt;&gt;"",COUNTIFS($H$2:H217,1,'All Data'!$C$2:$C217,'All Data'!$C218)=0),1,0)</f>
        <v>0</v>
      </c>
      <c r="J218" t="str">
        <f>IF($I218=1,SUM($I$2:I218),"")</f>
        <v/>
      </c>
      <c r="K218">
        <f t="shared" si="19"/>
        <v>0</v>
      </c>
      <c r="L218">
        <f>IF(AND($K218=1,'All Data'!$D218&lt;&gt;"",COUNTIFS($K$2:K217,1,'All Data'!$D$2:$D217,'All Data'!$D218)=0),1,0)</f>
        <v>0</v>
      </c>
      <c r="M218" t="str">
        <f>IF($L218=1,SUM($L$2:L218),"")</f>
        <v/>
      </c>
      <c r="N218">
        <f t="shared" si="20"/>
        <v>0</v>
      </c>
      <c r="O218">
        <f>IF(AND($N218=1,'All Data'!$E218&lt;&gt;"",COUNTIFS($N$2:N217,1,'All Data'!$E$2:$E217,'All Data'!$E218)=0),1,0)</f>
        <v>0</v>
      </c>
      <c r="P218" t="str">
        <f>IF($O218=1,SUM($O$2:O218),"")</f>
        <v/>
      </c>
      <c r="Q218">
        <f t="shared" si="21"/>
        <v>0</v>
      </c>
      <c r="R218">
        <f>IF(AND($Q218=1,'All Data'!$F218&lt;&gt;"",COUNTIFS($Q$2:Q217,1,'All Data'!$F$2:$F217,'All Data'!$F218)=0),1,0)</f>
        <v>0</v>
      </c>
      <c r="S218" t="str">
        <f>IF($R218=1,SUM($R$2:R218),"")</f>
        <v/>
      </c>
      <c r="T218">
        <f t="shared" si="22"/>
        <v>0</v>
      </c>
      <c r="U218">
        <f>IF(AND($T218=1,'All Data'!$G218&lt;&gt;"",COUNTIFS($T$2:T217,1,'All Data'!$G$2:$G217,'All Data'!$G218)=0),1,0)</f>
        <v>0</v>
      </c>
      <c r="V218" t="str">
        <f>IF($U218=1,SUM($U$2:U218),"")</f>
        <v/>
      </c>
      <c r="W218">
        <f t="shared" si="23"/>
        <v>0</v>
      </c>
      <c r="X218" t="str">
        <f>IF($W218=1,SUM($W$2:W218),"")</f>
        <v/>
      </c>
    </row>
    <row r="219" spans="1:24" x14ac:dyDescent="0.3">
      <c r="A219">
        <f>IF(OR($BA1="Any",$BA1=""),1,IF('All Data'!$B219=$BA1,1,0))</f>
        <v>0</v>
      </c>
      <c r="B219">
        <f>IF(OR($BA2="Any",$BA2=""),1,IF('All Data'!$C219=$BA2,1,0))</f>
        <v>1</v>
      </c>
      <c r="C219">
        <f>IF(OR($BA3="Any",$BA3=""),1,IF('All Data'!$D219=$BA3,1,0))</f>
        <v>1</v>
      </c>
      <c r="D219">
        <f>IF(OR($BA4="Any",$BA4=""),1,IF('All Data'!$E219=$BA4,1,0))</f>
        <v>1</v>
      </c>
      <c r="E219">
        <f>IF(OR($BA5="Any",$BA5=""),1,IF('All Data'!$F219=$BA5,1,0))</f>
        <v>1</v>
      </c>
      <c r="F219">
        <f>IF(OR($BA6="Any",$BA6=""),1,IF('All Data'!$G219=$BA6,1,0))</f>
        <v>0</v>
      </c>
      <c r="G219">
        <f>IF(AND(OR($BA$8="",ISNUMBER(SEARCH($BA$8,'All Data'!$K219&amp;" "&amp;'All Data'!$M219))),OR($BA$9="",ISNUMBER(SEARCH($BA$9,'All Data'!$K219&amp;" "&amp;'All Data'!$M219))),OR($BA$10="",ISNUMBER(SEARCH($BA$10,'All Data'!$K219&amp;" "&amp;'All Data'!$M219))),OR($BA$11="",ISNUMBER(SEARCH($BA$11,'All Data'!$K219&amp;" "&amp;'All Data'!$M219))),OR($BA$12="",ISNUMBER(SEARCH($BA$12,'All Data'!$K219&amp;" "&amp;'All Data'!$M219))),OR($BA$13="",ISNUMBER(SEARCH($BA$13,'All Data'!$K219&amp;" "&amp;'All Data'!$M219))),OR($BA$14="",ISNUMBER(SEARCH($BA$14,'All Data'!$K219&amp;" "&amp;'All Data'!$M219))),OR($BA$15="",ISNUMBER(SEARCH($BA$15,'All Data'!$K219&amp;" "&amp;'All Data'!$M219)))),1,0)</f>
        <v>1</v>
      </c>
      <c r="H219">
        <f t="shared" si="18"/>
        <v>0</v>
      </c>
      <c r="I219">
        <f>IF(AND($H219=1,'All Data'!$C219&lt;&gt;"",COUNTIFS($H$2:H218,1,'All Data'!$C$2:$C218,'All Data'!$C219)=0),1,0)</f>
        <v>0</v>
      </c>
      <c r="J219" t="str">
        <f>IF($I219=1,SUM($I$2:I219),"")</f>
        <v/>
      </c>
      <c r="K219">
        <f t="shared" si="19"/>
        <v>0</v>
      </c>
      <c r="L219">
        <f>IF(AND($K219=1,'All Data'!$D219&lt;&gt;"",COUNTIFS($K$2:K218,1,'All Data'!$D$2:$D218,'All Data'!$D219)=0),1,0)</f>
        <v>0</v>
      </c>
      <c r="M219" t="str">
        <f>IF($L219=1,SUM($L$2:L219),"")</f>
        <v/>
      </c>
      <c r="N219">
        <f t="shared" si="20"/>
        <v>0</v>
      </c>
      <c r="O219">
        <f>IF(AND($N219=1,'All Data'!$E219&lt;&gt;"",COUNTIFS($N$2:N218,1,'All Data'!$E$2:$E218,'All Data'!$E219)=0),1,0)</f>
        <v>0</v>
      </c>
      <c r="P219" t="str">
        <f>IF($O219=1,SUM($O$2:O219),"")</f>
        <v/>
      </c>
      <c r="Q219">
        <f t="shared" si="21"/>
        <v>0</v>
      </c>
      <c r="R219">
        <f>IF(AND($Q219=1,'All Data'!$F219&lt;&gt;"",COUNTIFS($Q$2:Q218,1,'All Data'!$F$2:$F218,'All Data'!$F219)=0),1,0)</f>
        <v>0</v>
      </c>
      <c r="S219" t="str">
        <f>IF($R219=1,SUM($R$2:R219),"")</f>
        <v/>
      </c>
      <c r="T219">
        <f t="shared" si="22"/>
        <v>0</v>
      </c>
      <c r="U219">
        <f>IF(AND($T219=1,'All Data'!$G219&lt;&gt;"",COUNTIFS($T$2:T218,1,'All Data'!$G$2:$G218,'All Data'!$G219)=0),1,0)</f>
        <v>0</v>
      </c>
      <c r="V219" t="str">
        <f>IF($U219=1,SUM($U$2:U219),"")</f>
        <v/>
      </c>
      <c r="W219">
        <f t="shared" si="23"/>
        <v>0</v>
      </c>
      <c r="X219" t="str">
        <f>IF($W219=1,SUM($W$2:W219),"")</f>
        <v/>
      </c>
    </row>
    <row r="220" spans="1:24" x14ac:dyDescent="0.3">
      <c r="A220">
        <f>IF(OR($BA1="Any",$BA1=""),1,IF('All Data'!$B220=$BA1,1,0))</f>
        <v>0</v>
      </c>
      <c r="B220">
        <f>IF(OR($BA2="Any",$BA2=""),1,IF('All Data'!$C220=$BA2,1,0))</f>
        <v>1</v>
      </c>
      <c r="C220">
        <f>IF(OR($BA3="Any",$BA3=""),1,IF('All Data'!$D220=$BA3,1,0))</f>
        <v>1</v>
      </c>
      <c r="D220">
        <f>IF(OR($BA4="Any",$BA4=""),1,IF('All Data'!$E220=$BA4,1,0))</f>
        <v>1</v>
      </c>
      <c r="E220">
        <f>IF(OR($BA5="Any",$BA5=""),1,IF('All Data'!$F220=$BA5,1,0))</f>
        <v>1</v>
      </c>
      <c r="F220">
        <f>IF(OR($BA6="Any",$BA6=""),1,IF('All Data'!$G220=$BA6,1,0))</f>
        <v>0</v>
      </c>
      <c r="G220">
        <f>IF(AND(OR($BA$8="",ISNUMBER(SEARCH($BA$8,'All Data'!$K220&amp;" "&amp;'All Data'!$M220))),OR($BA$9="",ISNUMBER(SEARCH($BA$9,'All Data'!$K220&amp;" "&amp;'All Data'!$M220))),OR($BA$10="",ISNUMBER(SEARCH($BA$10,'All Data'!$K220&amp;" "&amp;'All Data'!$M220))),OR($BA$11="",ISNUMBER(SEARCH($BA$11,'All Data'!$K220&amp;" "&amp;'All Data'!$M220))),OR($BA$12="",ISNUMBER(SEARCH($BA$12,'All Data'!$K220&amp;" "&amp;'All Data'!$M220))),OR($BA$13="",ISNUMBER(SEARCH($BA$13,'All Data'!$K220&amp;" "&amp;'All Data'!$M220))),OR($BA$14="",ISNUMBER(SEARCH($BA$14,'All Data'!$K220&amp;" "&amp;'All Data'!$M220))),OR($BA$15="",ISNUMBER(SEARCH($BA$15,'All Data'!$K220&amp;" "&amp;'All Data'!$M220)))),1,0)</f>
        <v>1</v>
      </c>
      <c r="H220">
        <f t="shared" si="18"/>
        <v>0</v>
      </c>
      <c r="I220">
        <f>IF(AND($H220=1,'All Data'!$C220&lt;&gt;"",COUNTIFS($H$2:H219,1,'All Data'!$C$2:$C219,'All Data'!$C220)=0),1,0)</f>
        <v>0</v>
      </c>
      <c r="J220" t="str">
        <f>IF($I220=1,SUM($I$2:I220),"")</f>
        <v/>
      </c>
      <c r="K220">
        <f t="shared" si="19"/>
        <v>0</v>
      </c>
      <c r="L220">
        <f>IF(AND($K220=1,'All Data'!$D220&lt;&gt;"",COUNTIFS($K$2:K219,1,'All Data'!$D$2:$D219,'All Data'!$D220)=0),1,0)</f>
        <v>0</v>
      </c>
      <c r="M220" t="str">
        <f>IF($L220=1,SUM($L$2:L220),"")</f>
        <v/>
      </c>
      <c r="N220">
        <f t="shared" si="20"/>
        <v>0</v>
      </c>
      <c r="O220">
        <f>IF(AND($N220=1,'All Data'!$E220&lt;&gt;"",COUNTIFS($N$2:N219,1,'All Data'!$E$2:$E219,'All Data'!$E220)=0),1,0)</f>
        <v>0</v>
      </c>
      <c r="P220" t="str">
        <f>IF($O220=1,SUM($O$2:O220),"")</f>
        <v/>
      </c>
      <c r="Q220">
        <f t="shared" si="21"/>
        <v>0</v>
      </c>
      <c r="R220">
        <f>IF(AND($Q220=1,'All Data'!$F220&lt;&gt;"",COUNTIFS($Q$2:Q219,1,'All Data'!$F$2:$F219,'All Data'!$F220)=0),1,0)</f>
        <v>0</v>
      </c>
      <c r="S220" t="str">
        <f>IF($R220=1,SUM($R$2:R220),"")</f>
        <v/>
      </c>
      <c r="T220">
        <f t="shared" si="22"/>
        <v>0</v>
      </c>
      <c r="U220">
        <f>IF(AND($T220=1,'All Data'!$G220&lt;&gt;"",COUNTIFS($T$2:T219,1,'All Data'!$G$2:$G219,'All Data'!$G220)=0),1,0)</f>
        <v>0</v>
      </c>
      <c r="V220" t="str">
        <f>IF($U220=1,SUM($U$2:U220),"")</f>
        <v/>
      </c>
      <c r="W220">
        <f t="shared" si="23"/>
        <v>0</v>
      </c>
      <c r="X220" t="str">
        <f>IF($W220=1,SUM($W$2:W220),"")</f>
        <v/>
      </c>
    </row>
    <row r="221" spans="1:24" x14ac:dyDescent="0.3">
      <c r="A221">
        <f>IF(OR($BA1="Any",$BA1=""),1,IF('All Data'!$B221=$BA1,1,0))</f>
        <v>0</v>
      </c>
      <c r="B221">
        <f>IF(OR($BA2="Any",$BA2=""),1,IF('All Data'!$C221=$BA2,1,0))</f>
        <v>1</v>
      </c>
      <c r="C221">
        <f>IF(OR($BA3="Any",$BA3=""),1,IF('All Data'!$D221=$BA3,1,0))</f>
        <v>1</v>
      </c>
      <c r="D221">
        <f>IF(OR($BA4="Any",$BA4=""),1,IF('All Data'!$E221=$BA4,1,0))</f>
        <v>1</v>
      </c>
      <c r="E221">
        <f>IF(OR($BA5="Any",$BA5=""),1,IF('All Data'!$F221=$BA5,1,0))</f>
        <v>1</v>
      </c>
      <c r="F221">
        <f>IF(OR($BA6="Any",$BA6=""),1,IF('All Data'!$G221=$BA6,1,0))</f>
        <v>1</v>
      </c>
      <c r="G221">
        <f>IF(AND(OR($BA$8="",ISNUMBER(SEARCH($BA$8,'All Data'!$K221&amp;" "&amp;'All Data'!$M221))),OR($BA$9="",ISNUMBER(SEARCH($BA$9,'All Data'!$K221&amp;" "&amp;'All Data'!$M221))),OR($BA$10="",ISNUMBER(SEARCH($BA$10,'All Data'!$K221&amp;" "&amp;'All Data'!$M221))),OR($BA$11="",ISNUMBER(SEARCH($BA$11,'All Data'!$K221&amp;" "&amp;'All Data'!$M221))),OR($BA$12="",ISNUMBER(SEARCH($BA$12,'All Data'!$K221&amp;" "&amp;'All Data'!$M221))),OR($BA$13="",ISNUMBER(SEARCH($BA$13,'All Data'!$K221&amp;" "&amp;'All Data'!$M221))),OR($BA$14="",ISNUMBER(SEARCH($BA$14,'All Data'!$K221&amp;" "&amp;'All Data'!$M221))),OR($BA$15="",ISNUMBER(SEARCH($BA$15,'All Data'!$K221&amp;" "&amp;'All Data'!$M221)))),1,0)</f>
        <v>1</v>
      </c>
      <c r="H221">
        <f t="shared" si="18"/>
        <v>0</v>
      </c>
      <c r="I221">
        <f>IF(AND($H221=1,'All Data'!$C221&lt;&gt;"",COUNTIFS($H$2:H220,1,'All Data'!$C$2:$C220,'All Data'!$C221)=0),1,0)</f>
        <v>0</v>
      </c>
      <c r="J221" t="str">
        <f>IF($I221=1,SUM($I$2:I221),"")</f>
        <v/>
      </c>
      <c r="K221">
        <f t="shared" si="19"/>
        <v>0</v>
      </c>
      <c r="L221">
        <f>IF(AND($K221=1,'All Data'!$D221&lt;&gt;"",COUNTIFS($K$2:K220,1,'All Data'!$D$2:$D220,'All Data'!$D221)=0),1,0)</f>
        <v>0</v>
      </c>
      <c r="M221" t="str">
        <f>IF($L221=1,SUM($L$2:L221),"")</f>
        <v/>
      </c>
      <c r="N221">
        <f t="shared" si="20"/>
        <v>0</v>
      </c>
      <c r="O221">
        <f>IF(AND($N221=1,'All Data'!$E221&lt;&gt;"",COUNTIFS($N$2:N220,1,'All Data'!$E$2:$E220,'All Data'!$E221)=0),1,0)</f>
        <v>0</v>
      </c>
      <c r="P221" t="str">
        <f>IF($O221=1,SUM($O$2:O221),"")</f>
        <v/>
      </c>
      <c r="Q221">
        <f t="shared" si="21"/>
        <v>0</v>
      </c>
      <c r="R221">
        <f>IF(AND($Q221=1,'All Data'!$F221&lt;&gt;"",COUNTIFS($Q$2:Q220,1,'All Data'!$F$2:$F220,'All Data'!$F221)=0),1,0)</f>
        <v>0</v>
      </c>
      <c r="S221" t="str">
        <f>IF($R221=1,SUM($R$2:R221),"")</f>
        <v/>
      </c>
      <c r="T221">
        <f t="shared" si="22"/>
        <v>0</v>
      </c>
      <c r="U221">
        <f>IF(AND($T221=1,'All Data'!$G221&lt;&gt;"",COUNTIFS($T$2:T220,1,'All Data'!$G$2:$G220,'All Data'!$G221)=0),1,0)</f>
        <v>0</v>
      </c>
      <c r="V221" t="str">
        <f>IF($U221=1,SUM($U$2:U221),"")</f>
        <v/>
      </c>
      <c r="W221">
        <f t="shared" si="23"/>
        <v>0</v>
      </c>
      <c r="X221" t="str">
        <f>IF($W221=1,SUM($W$2:W221),"")</f>
        <v/>
      </c>
    </row>
    <row r="222" spans="1:24" x14ac:dyDescent="0.3">
      <c r="A222">
        <f>IF(OR($BA1="Any",$BA1=""),1,IF('All Data'!$B222=$BA1,1,0))</f>
        <v>0</v>
      </c>
      <c r="B222">
        <f>IF(OR($BA2="Any",$BA2=""),1,IF('All Data'!$C222=$BA2,1,0))</f>
        <v>1</v>
      </c>
      <c r="C222">
        <f>IF(OR($BA3="Any",$BA3=""),1,IF('All Data'!$D222=$BA3,1,0))</f>
        <v>1</v>
      </c>
      <c r="D222">
        <f>IF(OR($BA4="Any",$BA4=""),1,IF('All Data'!$E222=$BA4,1,0))</f>
        <v>1</v>
      </c>
      <c r="E222">
        <f>IF(OR($BA5="Any",$BA5=""),1,IF('All Data'!$F222=$BA5,1,0))</f>
        <v>1</v>
      </c>
      <c r="F222">
        <f>IF(OR($BA6="Any",$BA6=""),1,IF('All Data'!$G222=$BA6,1,0))</f>
        <v>0</v>
      </c>
      <c r="G222">
        <f>IF(AND(OR($BA$8="",ISNUMBER(SEARCH($BA$8,'All Data'!$K222&amp;" "&amp;'All Data'!$M222))),OR($BA$9="",ISNUMBER(SEARCH($BA$9,'All Data'!$K222&amp;" "&amp;'All Data'!$M222))),OR($BA$10="",ISNUMBER(SEARCH($BA$10,'All Data'!$K222&amp;" "&amp;'All Data'!$M222))),OR($BA$11="",ISNUMBER(SEARCH($BA$11,'All Data'!$K222&amp;" "&amp;'All Data'!$M222))),OR($BA$12="",ISNUMBER(SEARCH($BA$12,'All Data'!$K222&amp;" "&amp;'All Data'!$M222))),OR($BA$13="",ISNUMBER(SEARCH($BA$13,'All Data'!$K222&amp;" "&amp;'All Data'!$M222))),OR($BA$14="",ISNUMBER(SEARCH($BA$14,'All Data'!$K222&amp;" "&amp;'All Data'!$M222))),OR($BA$15="",ISNUMBER(SEARCH($BA$15,'All Data'!$K222&amp;" "&amp;'All Data'!$M222)))),1,0)</f>
        <v>1</v>
      </c>
      <c r="H222">
        <f t="shared" si="18"/>
        <v>0</v>
      </c>
      <c r="I222">
        <f>IF(AND($H222=1,'All Data'!$C222&lt;&gt;"",COUNTIFS($H$2:H221,1,'All Data'!$C$2:$C221,'All Data'!$C222)=0),1,0)</f>
        <v>0</v>
      </c>
      <c r="J222" t="str">
        <f>IF($I222=1,SUM($I$2:I222),"")</f>
        <v/>
      </c>
      <c r="K222">
        <f t="shared" si="19"/>
        <v>0</v>
      </c>
      <c r="L222">
        <f>IF(AND($K222=1,'All Data'!$D222&lt;&gt;"",COUNTIFS($K$2:K221,1,'All Data'!$D$2:$D221,'All Data'!$D222)=0),1,0)</f>
        <v>0</v>
      </c>
      <c r="M222" t="str">
        <f>IF($L222=1,SUM($L$2:L222),"")</f>
        <v/>
      </c>
      <c r="N222">
        <f t="shared" si="20"/>
        <v>0</v>
      </c>
      <c r="O222">
        <f>IF(AND($N222=1,'All Data'!$E222&lt;&gt;"",COUNTIFS($N$2:N221,1,'All Data'!$E$2:$E221,'All Data'!$E222)=0),1,0)</f>
        <v>0</v>
      </c>
      <c r="P222" t="str">
        <f>IF($O222=1,SUM($O$2:O222),"")</f>
        <v/>
      </c>
      <c r="Q222">
        <f t="shared" si="21"/>
        <v>0</v>
      </c>
      <c r="R222">
        <f>IF(AND($Q222=1,'All Data'!$F222&lt;&gt;"",COUNTIFS($Q$2:Q221,1,'All Data'!$F$2:$F221,'All Data'!$F222)=0),1,0)</f>
        <v>0</v>
      </c>
      <c r="S222" t="str">
        <f>IF($R222=1,SUM($R$2:R222),"")</f>
        <v/>
      </c>
      <c r="T222">
        <f t="shared" si="22"/>
        <v>0</v>
      </c>
      <c r="U222">
        <f>IF(AND($T222=1,'All Data'!$G222&lt;&gt;"",COUNTIFS($T$2:T221,1,'All Data'!$G$2:$G221,'All Data'!$G222)=0),1,0)</f>
        <v>0</v>
      </c>
      <c r="V222" t="str">
        <f>IF($U222=1,SUM($U$2:U222),"")</f>
        <v/>
      </c>
      <c r="W222">
        <f t="shared" si="23"/>
        <v>0</v>
      </c>
      <c r="X222" t="str">
        <f>IF($W222=1,SUM($W$2:W222),"")</f>
        <v/>
      </c>
    </row>
    <row r="223" spans="1:24" x14ac:dyDescent="0.3">
      <c r="A223">
        <f>IF(OR($BA1="Any",$BA1=""),1,IF('All Data'!$B223=$BA1,1,0))</f>
        <v>0</v>
      </c>
      <c r="B223">
        <f>IF(OR($BA2="Any",$BA2=""),1,IF('All Data'!$C223=$BA2,1,0))</f>
        <v>1</v>
      </c>
      <c r="C223">
        <f>IF(OR($BA3="Any",$BA3=""),1,IF('All Data'!$D223=$BA3,1,0))</f>
        <v>1</v>
      </c>
      <c r="D223">
        <f>IF(OR($BA4="Any",$BA4=""),1,IF('All Data'!$E223=$BA4,1,0))</f>
        <v>1</v>
      </c>
      <c r="E223">
        <f>IF(OR($BA5="Any",$BA5=""),1,IF('All Data'!$F223=$BA5,1,0))</f>
        <v>1</v>
      </c>
      <c r="F223">
        <f>IF(OR($BA6="Any",$BA6=""),1,IF('All Data'!$G223=$BA6,1,0))</f>
        <v>0</v>
      </c>
      <c r="G223">
        <f>IF(AND(OR($BA$8="",ISNUMBER(SEARCH($BA$8,'All Data'!$K223&amp;" "&amp;'All Data'!$M223))),OR($BA$9="",ISNUMBER(SEARCH($BA$9,'All Data'!$K223&amp;" "&amp;'All Data'!$M223))),OR($BA$10="",ISNUMBER(SEARCH($BA$10,'All Data'!$K223&amp;" "&amp;'All Data'!$M223))),OR($BA$11="",ISNUMBER(SEARCH($BA$11,'All Data'!$K223&amp;" "&amp;'All Data'!$M223))),OR($BA$12="",ISNUMBER(SEARCH($BA$12,'All Data'!$K223&amp;" "&amp;'All Data'!$M223))),OR($BA$13="",ISNUMBER(SEARCH($BA$13,'All Data'!$K223&amp;" "&amp;'All Data'!$M223))),OR($BA$14="",ISNUMBER(SEARCH($BA$14,'All Data'!$K223&amp;" "&amp;'All Data'!$M223))),OR($BA$15="",ISNUMBER(SEARCH($BA$15,'All Data'!$K223&amp;" "&amp;'All Data'!$M223)))),1,0)</f>
        <v>1</v>
      </c>
      <c r="H223">
        <f t="shared" si="18"/>
        <v>0</v>
      </c>
      <c r="I223">
        <f>IF(AND($H223=1,'All Data'!$C223&lt;&gt;"",COUNTIFS($H$2:H222,1,'All Data'!$C$2:$C222,'All Data'!$C223)=0),1,0)</f>
        <v>0</v>
      </c>
      <c r="J223" t="str">
        <f>IF($I223=1,SUM($I$2:I223),"")</f>
        <v/>
      </c>
      <c r="K223">
        <f t="shared" si="19"/>
        <v>0</v>
      </c>
      <c r="L223">
        <f>IF(AND($K223=1,'All Data'!$D223&lt;&gt;"",COUNTIFS($K$2:K222,1,'All Data'!$D$2:$D222,'All Data'!$D223)=0),1,0)</f>
        <v>0</v>
      </c>
      <c r="M223" t="str">
        <f>IF($L223=1,SUM($L$2:L223),"")</f>
        <v/>
      </c>
      <c r="N223">
        <f t="shared" si="20"/>
        <v>0</v>
      </c>
      <c r="O223">
        <f>IF(AND($N223=1,'All Data'!$E223&lt;&gt;"",COUNTIFS($N$2:N222,1,'All Data'!$E$2:$E222,'All Data'!$E223)=0),1,0)</f>
        <v>0</v>
      </c>
      <c r="P223" t="str">
        <f>IF($O223=1,SUM($O$2:O223),"")</f>
        <v/>
      </c>
      <c r="Q223">
        <f t="shared" si="21"/>
        <v>0</v>
      </c>
      <c r="R223">
        <f>IF(AND($Q223=1,'All Data'!$F223&lt;&gt;"",COUNTIFS($Q$2:Q222,1,'All Data'!$F$2:$F222,'All Data'!$F223)=0),1,0)</f>
        <v>0</v>
      </c>
      <c r="S223" t="str">
        <f>IF($R223=1,SUM($R$2:R223),"")</f>
        <v/>
      </c>
      <c r="T223">
        <f t="shared" si="22"/>
        <v>0</v>
      </c>
      <c r="U223">
        <f>IF(AND($T223=1,'All Data'!$G223&lt;&gt;"",COUNTIFS($T$2:T222,1,'All Data'!$G$2:$G222,'All Data'!$G223)=0),1,0)</f>
        <v>0</v>
      </c>
      <c r="V223" t="str">
        <f>IF($U223=1,SUM($U$2:U223),"")</f>
        <v/>
      </c>
      <c r="W223">
        <f t="shared" si="23"/>
        <v>0</v>
      </c>
      <c r="X223" t="str">
        <f>IF($W223=1,SUM($W$2:W223),"")</f>
        <v/>
      </c>
    </row>
    <row r="224" spans="1:24" x14ac:dyDescent="0.3">
      <c r="A224">
        <f>IF(OR($BA1="Any",$BA1=""),1,IF('All Data'!$B224=$BA1,1,0))</f>
        <v>0</v>
      </c>
      <c r="B224">
        <f>IF(OR($BA2="Any",$BA2=""),1,IF('All Data'!$C224=$BA2,1,0))</f>
        <v>1</v>
      </c>
      <c r="C224">
        <f>IF(OR($BA3="Any",$BA3=""),1,IF('All Data'!$D224=$BA3,1,0))</f>
        <v>1</v>
      </c>
      <c r="D224">
        <f>IF(OR($BA4="Any",$BA4=""),1,IF('All Data'!$E224=$BA4,1,0))</f>
        <v>1</v>
      </c>
      <c r="E224">
        <f>IF(OR($BA5="Any",$BA5=""),1,IF('All Data'!$F224=$BA5,1,0))</f>
        <v>1</v>
      </c>
      <c r="F224">
        <f>IF(OR($BA6="Any",$BA6=""),1,IF('All Data'!$G224=$BA6,1,0))</f>
        <v>0</v>
      </c>
      <c r="G224">
        <f>IF(AND(OR($BA$8="",ISNUMBER(SEARCH($BA$8,'All Data'!$K224&amp;" "&amp;'All Data'!$M224))),OR($BA$9="",ISNUMBER(SEARCH($BA$9,'All Data'!$K224&amp;" "&amp;'All Data'!$M224))),OR($BA$10="",ISNUMBER(SEARCH($BA$10,'All Data'!$K224&amp;" "&amp;'All Data'!$M224))),OR($BA$11="",ISNUMBER(SEARCH($BA$11,'All Data'!$K224&amp;" "&amp;'All Data'!$M224))),OR($BA$12="",ISNUMBER(SEARCH($BA$12,'All Data'!$K224&amp;" "&amp;'All Data'!$M224))),OR($BA$13="",ISNUMBER(SEARCH($BA$13,'All Data'!$K224&amp;" "&amp;'All Data'!$M224))),OR($BA$14="",ISNUMBER(SEARCH($BA$14,'All Data'!$K224&amp;" "&amp;'All Data'!$M224))),OR($BA$15="",ISNUMBER(SEARCH($BA$15,'All Data'!$K224&amp;" "&amp;'All Data'!$M224)))),1,0)</f>
        <v>1</v>
      </c>
      <c r="H224">
        <f t="shared" si="18"/>
        <v>0</v>
      </c>
      <c r="I224">
        <f>IF(AND($H224=1,'All Data'!$C224&lt;&gt;"",COUNTIFS($H$2:H223,1,'All Data'!$C$2:$C223,'All Data'!$C224)=0),1,0)</f>
        <v>0</v>
      </c>
      <c r="J224" t="str">
        <f>IF($I224=1,SUM($I$2:I224),"")</f>
        <v/>
      </c>
      <c r="K224">
        <f t="shared" si="19"/>
        <v>0</v>
      </c>
      <c r="L224">
        <f>IF(AND($K224=1,'All Data'!$D224&lt;&gt;"",COUNTIFS($K$2:K223,1,'All Data'!$D$2:$D223,'All Data'!$D224)=0),1,0)</f>
        <v>0</v>
      </c>
      <c r="M224" t="str">
        <f>IF($L224=1,SUM($L$2:L224),"")</f>
        <v/>
      </c>
      <c r="N224">
        <f t="shared" si="20"/>
        <v>0</v>
      </c>
      <c r="O224">
        <f>IF(AND($N224=1,'All Data'!$E224&lt;&gt;"",COUNTIFS($N$2:N223,1,'All Data'!$E$2:$E223,'All Data'!$E224)=0),1,0)</f>
        <v>0</v>
      </c>
      <c r="P224" t="str">
        <f>IF($O224=1,SUM($O$2:O224),"")</f>
        <v/>
      </c>
      <c r="Q224">
        <f t="shared" si="21"/>
        <v>0</v>
      </c>
      <c r="R224">
        <f>IF(AND($Q224=1,'All Data'!$F224&lt;&gt;"",COUNTIFS($Q$2:Q223,1,'All Data'!$F$2:$F223,'All Data'!$F224)=0),1,0)</f>
        <v>0</v>
      </c>
      <c r="S224" t="str">
        <f>IF($R224=1,SUM($R$2:R224),"")</f>
        <v/>
      </c>
      <c r="T224">
        <f t="shared" si="22"/>
        <v>0</v>
      </c>
      <c r="U224">
        <f>IF(AND($T224=1,'All Data'!$G224&lt;&gt;"",COUNTIFS($T$2:T223,1,'All Data'!$G$2:$G223,'All Data'!$G224)=0),1,0)</f>
        <v>0</v>
      </c>
      <c r="V224" t="str">
        <f>IF($U224=1,SUM($U$2:U224),"")</f>
        <v/>
      </c>
      <c r="W224">
        <f t="shared" si="23"/>
        <v>0</v>
      </c>
      <c r="X224" t="str">
        <f>IF($W224=1,SUM($W$2:W224),"")</f>
        <v/>
      </c>
    </row>
    <row r="225" spans="1:24" x14ac:dyDescent="0.3">
      <c r="A225">
        <f>IF(OR($BA1="Any",$BA1=""),1,IF('All Data'!$B225=$BA1,1,0))</f>
        <v>0</v>
      </c>
      <c r="B225">
        <f>IF(OR($BA2="Any",$BA2=""),1,IF('All Data'!$C225=$BA2,1,0))</f>
        <v>1</v>
      </c>
      <c r="C225">
        <f>IF(OR($BA3="Any",$BA3=""),1,IF('All Data'!$D225=$BA3,1,0))</f>
        <v>1</v>
      </c>
      <c r="D225">
        <f>IF(OR($BA4="Any",$BA4=""),1,IF('All Data'!$E225=$BA4,1,0))</f>
        <v>1</v>
      </c>
      <c r="E225">
        <f>IF(OR($BA5="Any",$BA5=""),1,IF('All Data'!$F225=$BA5,1,0))</f>
        <v>1</v>
      </c>
      <c r="F225">
        <f>IF(OR($BA6="Any",$BA6=""),1,IF('All Data'!$G225=$BA6,1,0))</f>
        <v>0</v>
      </c>
      <c r="G225">
        <f>IF(AND(OR($BA$8="",ISNUMBER(SEARCH($BA$8,'All Data'!$K225&amp;" "&amp;'All Data'!$M225))),OR($BA$9="",ISNUMBER(SEARCH($BA$9,'All Data'!$K225&amp;" "&amp;'All Data'!$M225))),OR($BA$10="",ISNUMBER(SEARCH($BA$10,'All Data'!$K225&amp;" "&amp;'All Data'!$M225))),OR($BA$11="",ISNUMBER(SEARCH($BA$11,'All Data'!$K225&amp;" "&amp;'All Data'!$M225))),OR($BA$12="",ISNUMBER(SEARCH($BA$12,'All Data'!$K225&amp;" "&amp;'All Data'!$M225))),OR($BA$13="",ISNUMBER(SEARCH($BA$13,'All Data'!$K225&amp;" "&amp;'All Data'!$M225))),OR($BA$14="",ISNUMBER(SEARCH($BA$14,'All Data'!$K225&amp;" "&amp;'All Data'!$M225))),OR($BA$15="",ISNUMBER(SEARCH($BA$15,'All Data'!$K225&amp;" "&amp;'All Data'!$M225)))),1,0)</f>
        <v>1</v>
      </c>
      <c r="H225">
        <f t="shared" si="18"/>
        <v>0</v>
      </c>
      <c r="I225">
        <f>IF(AND($H225=1,'All Data'!$C225&lt;&gt;"",COUNTIFS($H$2:H224,1,'All Data'!$C$2:$C224,'All Data'!$C225)=0),1,0)</f>
        <v>0</v>
      </c>
      <c r="J225" t="str">
        <f>IF($I225=1,SUM($I$2:I225),"")</f>
        <v/>
      </c>
      <c r="K225">
        <f t="shared" si="19"/>
        <v>0</v>
      </c>
      <c r="L225">
        <f>IF(AND($K225=1,'All Data'!$D225&lt;&gt;"",COUNTIFS($K$2:K224,1,'All Data'!$D$2:$D224,'All Data'!$D225)=0),1,0)</f>
        <v>0</v>
      </c>
      <c r="M225" t="str">
        <f>IF($L225=1,SUM($L$2:L225),"")</f>
        <v/>
      </c>
      <c r="N225">
        <f t="shared" si="20"/>
        <v>0</v>
      </c>
      <c r="O225">
        <f>IF(AND($N225=1,'All Data'!$E225&lt;&gt;"",COUNTIFS($N$2:N224,1,'All Data'!$E$2:$E224,'All Data'!$E225)=0),1,0)</f>
        <v>0</v>
      </c>
      <c r="P225" t="str">
        <f>IF($O225=1,SUM($O$2:O225),"")</f>
        <v/>
      </c>
      <c r="Q225">
        <f t="shared" si="21"/>
        <v>0</v>
      </c>
      <c r="R225">
        <f>IF(AND($Q225=1,'All Data'!$F225&lt;&gt;"",COUNTIFS($Q$2:Q224,1,'All Data'!$F$2:$F224,'All Data'!$F225)=0),1,0)</f>
        <v>0</v>
      </c>
      <c r="S225" t="str">
        <f>IF($R225=1,SUM($R$2:R225),"")</f>
        <v/>
      </c>
      <c r="T225">
        <f t="shared" si="22"/>
        <v>0</v>
      </c>
      <c r="U225">
        <f>IF(AND($T225=1,'All Data'!$G225&lt;&gt;"",COUNTIFS($T$2:T224,1,'All Data'!$G$2:$G224,'All Data'!$G225)=0),1,0)</f>
        <v>0</v>
      </c>
      <c r="V225" t="str">
        <f>IF($U225=1,SUM($U$2:U225),"")</f>
        <v/>
      </c>
      <c r="W225">
        <f t="shared" si="23"/>
        <v>0</v>
      </c>
      <c r="X225" t="str">
        <f>IF($W225=1,SUM($W$2:W225),"")</f>
        <v/>
      </c>
    </row>
    <row r="226" spans="1:24" x14ac:dyDescent="0.3">
      <c r="A226">
        <f>IF(OR($BA1="Any",$BA1=""),1,IF('All Data'!$B226=$BA1,1,0))</f>
        <v>0</v>
      </c>
      <c r="B226">
        <f>IF(OR($BA2="Any",$BA2=""),1,IF('All Data'!$C226=$BA2,1,0))</f>
        <v>1</v>
      </c>
      <c r="C226">
        <f>IF(OR($BA3="Any",$BA3=""),1,IF('All Data'!$D226=$BA3,1,0))</f>
        <v>1</v>
      </c>
      <c r="D226">
        <f>IF(OR($BA4="Any",$BA4=""),1,IF('All Data'!$E226=$BA4,1,0))</f>
        <v>1</v>
      </c>
      <c r="E226">
        <f>IF(OR($BA5="Any",$BA5=""),1,IF('All Data'!$F226=$BA5,1,0))</f>
        <v>1</v>
      </c>
      <c r="F226">
        <f>IF(OR($BA6="Any",$BA6=""),1,IF('All Data'!$G226=$BA6,1,0))</f>
        <v>0</v>
      </c>
      <c r="G226">
        <f>IF(AND(OR($BA$8="",ISNUMBER(SEARCH($BA$8,'All Data'!$K226&amp;" "&amp;'All Data'!$M226))),OR($BA$9="",ISNUMBER(SEARCH($BA$9,'All Data'!$K226&amp;" "&amp;'All Data'!$M226))),OR($BA$10="",ISNUMBER(SEARCH($BA$10,'All Data'!$K226&amp;" "&amp;'All Data'!$M226))),OR($BA$11="",ISNUMBER(SEARCH($BA$11,'All Data'!$K226&amp;" "&amp;'All Data'!$M226))),OR($BA$12="",ISNUMBER(SEARCH($BA$12,'All Data'!$K226&amp;" "&amp;'All Data'!$M226))),OR($BA$13="",ISNUMBER(SEARCH($BA$13,'All Data'!$K226&amp;" "&amp;'All Data'!$M226))),OR($BA$14="",ISNUMBER(SEARCH($BA$14,'All Data'!$K226&amp;" "&amp;'All Data'!$M226))),OR($BA$15="",ISNUMBER(SEARCH($BA$15,'All Data'!$K226&amp;" "&amp;'All Data'!$M226)))),1,0)</f>
        <v>1</v>
      </c>
      <c r="H226">
        <f t="shared" si="18"/>
        <v>0</v>
      </c>
      <c r="I226">
        <f>IF(AND($H226=1,'All Data'!$C226&lt;&gt;"",COUNTIFS($H$2:H225,1,'All Data'!$C$2:$C225,'All Data'!$C226)=0),1,0)</f>
        <v>0</v>
      </c>
      <c r="J226" t="str">
        <f>IF($I226=1,SUM($I$2:I226),"")</f>
        <v/>
      </c>
      <c r="K226">
        <f t="shared" si="19"/>
        <v>0</v>
      </c>
      <c r="L226">
        <f>IF(AND($K226=1,'All Data'!$D226&lt;&gt;"",COUNTIFS($K$2:K225,1,'All Data'!$D$2:$D225,'All Data'!$D226)=0),1,0)</f>
        <v>0</v>
      </c>
      <c r="M226" t="str">
        <f>IF($L226=1,SUM($L$2:L226),"")</f>
        <v/>
      </c>
      <c r="N226">
        <f t="shared" si="20"/>
        <v>0</v>
      </c>
      <c r="O226">
        <f>IF(AND($N226=1,'All Data'!$E226&lt;&gt;"",COUNTIFS($N$2:N225,1,'All Data'!$E$2:$E225,'All Data'!$E226)=0),1,0)</f>
        <v>0</v>
      </c>
      <c r="P226" t="str">
        <f>IF($O226=1,SUM($O$2:O226),"")</f>
        <v/>
      </c>
      <c r="Q226">
        <f t="shared" si="21"/>
        <v>0</v>
      </c>
      <c r="R226">
        <f>IF(AND($Q226=1,'All Data'!$F226&lt;&gt;"",COUNTIFS($Q$2:Q225,1,'All Data'!$F$2:$F225,'All Data'!$F226)=0),1,0)</f>
        <v>0</v>
      </c>
      <c r="S226" t="str">
        <f>IF($R226=1,SUM($R$2:R226),"")</f>
        <v/>
      </c>
      <c r="T226">
        <f t="shared" si="22"/>
        <v>0</v>
      </c>
      <c r="U226">
        <f>IF(AND($T226=1,'All Data'!$G226&lt;&gt;"",COUNTIFS($T$2:T225,1,'All Data'!$G$2:$G225,'All Data'!$G226)=0),1,0)</f>
        <v>0</v>
      </c>
      <c r="V226" t="str">
        <f>IF($U226=1,SUM($U$2:U226),"")</f>
        <v/>
      </c>
      <c r="W226">
        <f t="shared" si="23"/>
        <v>0</v>
      </c>
      <c r="X226" t="str">
        <f>IF($W226=1,SUM($W$2:W226),"")</f>
        <v/>
      </c>
    </row>
    <row r="227" spans="1:24" x14ac:dyDescent="0.3">
      <c r="A227">
        <f>IF(OR($BA1="Any",$BA1=""),1,IF('All Data'!$B227=$BA1,1,0))</f>
        <v>0</v>
      </c>
      <c r="B227">
        <f>IF(OR($BA2="Any",$BA2=""),1,IF('All Data'!$C227=$BA2,1,0))</f>
        <v>1</v>
      </c>
      <c r="C227">
        <f>IF(OR($BA3="Any",$BA3=""),1,IF('All Data'!$D227=$BA3,1,0))</f>
        <v>1</v>
      </c>
      <c r="D227">
        <f>IF(OR($BA4="Any",$BA4=""),1,IF('All Data'!$E227=$BA4,1,0))</f>
        <v>1</v>
      </c>
      <c r="E227">
        <f>IF(OR($BA5="Any",$BA5=""),1,IF('All Data'!$F227=$BA5,1,0))</f>
        <v>1</v>
      </c>
      <c r="F227">
        <f>IF(OR($BA6="Any",$BA6=""),1,IF('All Data'!$G227=$BA6,1,0))</f>
        <v>0</v>
      </c>
      <c r="G227">
        <f>IF(AND(OR($BA$8="",ISNUMBER(SEARCH($BA$8,'All Data'!$K227&amp;" "&amp;'All Data'!$M227))),OR($BA$9="",ISNUMBER(SEARCH($BA$9,'All Data'!$K227&amp;" "&amp;'All Data'!$M227))),OR($BA$10="",ISNUMBER(SEARCH($BA$10,'All Data'!$K227&amp;" "&amp;'All Data'!$M227))),OR($BA$11="",ISNUMBER(SEARCH($BA$11,'All Data'!$K227&amp;" "&amp;'All Data'!$M227))),OR($BA$12="",ISNUMBER(SEARCH($BA$12,'All Data'!$K227&amp;" "&amp;'All Data'!$M227))),OR($BA$13="",ISNUMBER(SEARCH($BA$13,'All Data'!$K227&amp;" "&amp;'All Data'!$M227))),OR($BA$14="",ISNUMBER(SEARCH($BA$14,'All Data'!$K227&amp;" "&amp;'All Data'!$M227))),OR($BA$15="",ISNUMBER(SEARCH($BA$15,'All Data'!$K227&amp;" "&amp;'All Data'!$M227)))),1,0)</f>
        <v>1</v>
      </c>
      <c r="H227">
        <f t="shared" si="18"/>
        <v>0</v>
      </c>
      <c r="I227">
        <f>IF(AND($H227=1,'All Data'!$C227&lt;&gt;"",COUNTIFS($H$2:H226,1,'All Data'!$C$2:$C226,'All Data'!$C227)=0),1,0)</f>
        <v>0</v>
      </c>
      <c r="J227" t="str">
        <f>IF($I227=1,SUM($I$2:I227),"")</f>
        <v/>
      </c>
      <c r="K227">
        <f t="shared" si="19"/>
        <v>0</v>
      </c>
      <c r="L227">
        <f>IF(AND($K227=1,'All Data'!$D227&lt;&gt;"",COUNTIFS($K$2:K226,1,'All Data'!$D$2:$D226,'All Data'!$D227)=0),1,0)</f>
        <v>0</v>
      </c>
      <c r="M227" t="str">
        <f>IF($L227=1,SUM($L$2:L227),"")</f>
        <v/>
      </c>
      <c r="N227">
        <f t="shared" si="20"/>
        <v>0</v>
      </c>
      <c r="O227">
        <f>IF(AND($N227=1,'All Data'!$E227&lt;&gt;"",COUNTIFS($N$2:N226,1,'All Data'!$E$2:$E226,'All Data'!$E227)=0),1,0)</f>
        <v>0</v>
      </c>
      <c r="P227" t="str">
        <f>IF($O227=1,SUM($O$2:O227),"")</f>
        <v/>
      </c>
      <c r="Q227">
        <f t="shared" si="21"/>
        <v>0</v>
      </c>
      <c r="R227">
        <f>IF(AND($Q227=1,'All Data'!$F227&lt;&gt;"",COUNTIFS($Q$2:Q226,1,'All Data'!$F$2:$F226,'All Data'!$F227)=0),1,0)</f>
        <v>0</v>
      </c>
      <c r="S227" t="str">
        <f>IF($R227=1,SUM($R$2:R227),"")</f>
        <v/>
      </c>
      <c r="T227">
        <f t="shared" si="22"/>
        <v>0</v>
      </c>
      <c r="U227">
        <f>IF(AND($T227=1,'All Data'!$G227&lt;&gt;"",COUNTIFS($T$2:T226,1,'All Data'!$G$2:$G226,'All Data'!$G227)=0),1,0)</f>
        <v>0</v>
      </c>
      <c r="V227" t="str">
        <f>IF($U227=1,SUM($U$2:U227),"")</f>
        <v/>
      </c>
      <c r="W227">
        <f t="shared" si="23"/>
        <v>0</v>
      </c>
      <c r="X227" t="str">
        <f>IF($W227=1,SUM($W$2:W227),"")</f>
        <v/>
      </c>
    </row>
    <row r="228" spans="1:24" x14ac:dyDescent="0.3">
      <c r="A228">
        <f>IF(OR($BA1="Any",$BA1=""),1,IF('All Data'!$B228=$BA1,1,0))</f>
        <v>0</v>
      </c>
      <c r="B228">
        <f>IF(OR($BA2="Any",$BA2=""),1,IF('All Data'!$C228=$BA2,1,0))</f>
        <v>1</v>
      </c>
      <c r="C228">
        <f>IF(OR($BA3="Any",$BA3=""),1,IF('All Data'!$D228=$BA3,1,0))</f>
        <v>1</v>
      </c>
      <c r="D228">
        <f>IF(OR($BA4="Any",$BA4=""),1,IF('All Data'!$E228=$BA4,1,0))</f>
        <v>1</v>
      </c>
      <c r="E228">
        <f>IF(OR($BA5="Any",$BA5=""),1,IF('All Data'!$F228=$BA5,1,0))</f>
        <v>1</v>
      </c>
      <c r="F228">
        <f>IF(OR($BA6="Any",$BA6=""),1,IF('All Data'!$G228=$BA6,1,0))</f>
        <v>0</v>
      </c>
      <c r="G228">
        <f>IF(AND(OR($BA$8="",ISNUMBER(SEARCH($BA$8,'All Data'!$K228&amp;" "&amp;'All Data'!$M228))),OR($BA$9="",ISNUMBER(SEARCH($BA$9,'All Data'!$K228&amp;" "&amp;'All Data'!$M228))),OR($BA$10="",ISNUMBER(SEARCH($BA$10,'All Data'!$K228&amp;" "&amp;'All Data'!$M228))),OR($BA$11="",ISNUMBER(SEARCH($BA$11,'All Data'!$K228&amp;" "&amp;'All Data'!$M228))),OR($BA$12="",ISNUMBER(SEARCH($BA$12,'All Data'!$K228&amp;" "&amp;'All Data'!$M228))),OR($BA$13="",ISNUMBER(SEARCH($BA$13,'All Data'!$K228&amp;" "&amp;'All Data'!$M228))),OR($BA$14="",ISNUMBER(SEARCH($BA$14,'All Data'!$K228&amp;" "&amp;'All Data'!$M228))),OR($BA$15="",ISNUMBER(SEARCH($BA$15,'All Data'!$K228&amp;" "&amp;'All Data'!$M228)))),1,0)</f>
        <v>1</v>
      </c>
      <c r="H228">
        <f t="shared" si="18"/>
        <v>0</v>
      </c>
      <c r="I228">
        <f>IF(AND($H228=1,'All Data'!$C228&lt;&gt;"",COUNTIFS($H$2:H227,1,'All Data'!$C$2:$C227,'All Data'!$C228)=0),1,0)</f>
        <v>0</v>
      </c>
      <c r="J228" t="str">
        <f>IF($I228=1,SUM($I$2:I228),"")</f>
        <v/>
      </c>
      <c r="K228">
        <f t="shared" si="19"/>
        <v>0</v>
      </c>
      <c r="L228">
        <f>IF(AND($K228=1,'All Data'!$D228&lt;&gt;"",COUNTIFS($K$2:K227,1,'All Data'!$D$2:$D227,'All Data'!$D228)=0),1,0)</f>
        <v>0</v>
      </c>
      <c r="M228" t="str">
        <f>IF($L228=1,SUM($L$2:L228),"")</f>
        <v/>
      </c>
      <c r="N228">
        <f t="shared" si="20"/>
        <v>0</v>
      </c>
      <c r="O228">
        <f>IF(AND($N228=1,'All Data'!$E228&lt;&gt;"",COUNTIFS($N$2:N227,1,'All Data'!$E$2:$E227,'All Data'!$E228)=0),1,0)</f>
        <v>0</v>
      </c>
      <c r="P228" t="str">
        <f>IF($O228=1,SUM($O$2:O228),"")</f>
        <v/>
      </c>
      <c r="Q228">
        <f t="shared" si="21"/>
        <v>0</v>
      </c>
      <c r="R228">
        <f>IF(AND($Q228=1,'All Data'!$F228&lt;&gt;"",COUNTIFS($Q$2:Q227,1,'All Data'!$F$2:$F227,'All Data'!$F228)=0),1,0)</f>
        <v>0</v>
      </c>
      <c r="S228" t="str">
        <f>IF($R228=1,SUM($R$2:R228),"")</f>
        <v/>
      </c>
      <c r="T228">
        <f t="shared" si="22"/>
        <v>0</v>
      </c>
      <c r="U228">
        <f>IF(AND($T228=1,'All Data'!$G228&lt;&gt;"",COUNTIFS($T$2:T227,1,'All Data'!$G$2:$G227,'All Data'!$G228)=0),1,0)</f>
        <v>0</v>
      </c>
      <c r="V228" t="str">
        <f>IF($U228=1,SUM($U$2:U228),"")</f>
        <v/>
      </c>
      <c r="W228">
        <f t="shared" si="23"/>
        <v>0</v>
      </c>
      <c r="X228" t="str">
        <f>IF($W228=1,SUM($W$2:W228),"")</f>
        <v/>
      </c>
    </row>
    <row r="229" spans="1:24" x14ac:dyDescent="0.3">
      <c r="A229">
        <f>IF(OR($BA1="Any",$BA1=""),1,IF('All Data'!$B229=$BA1,1,0))</f>
        <v>0</v>
      </c>
      <c r="B229">
        <f>IF(OR($BA2="Any",$BA2=""),1,IF('All Data'!$C229=$BA2,1,0))</f>
        <v>1</v>
      </c>
      <c r="C229">
        <f>IF(OR($BA3="Any",$BA3=""),1,IF('All Data'!$D229=$BA3,1,0))</f>
        <v>1</v>
      </c>
      <c r="D229">
        <f>IF(OR($BA4="Any",$BA4=""),1,IF('All Data'!$E229=$BA4,1,0))</f>
        <v>1</v>
      </c>
      <c r="E229">
        <f>IF(OR($BA5="Any",$BA5=""),1,IF('All Data'!$F229=$BA5,1,0))</f>
        <v>1</v>
      </c>
      <c r="F229">
        <f>IF(OR($BA6="Any",$BA6=""),1,IF('All Data'!$G229=$BA6,1,0))</f>
        <v>0</v>
      </c>
      <c r="G229">
        <f>IF(AND(OR($BA$8="",ISNUMBER(SEARCH($BA$8,'All Data'!$K229&amp;" "&amp;'All Data'!$M229))),OR($BA$9="",ISNUMBER(SEARCH($BA$9,'All Data'!$K229&amp;" "&amp;'All Data'!$M229))),OR($BA$10="",ISNUMBER(SEARCH($BA$10,'All Data'!$K229&amp;" "&amp;'All Data'!$M229))),OR($BA$11="",ISNUMBER(SEARCH($BA$11,'All Data'!$K229&amp;" "&amp;'All Data'!$M229))),OR($BA$12="",ISNUMBER(SEARCH($BA$12,'All Data'!$K229&amp;" "&amp;'All Data'!$M229))),OR($BA$13="",ISNUMBER(SEARCH($BA$13,'All Data'!$K229&amp;" "&amp;'All Data'!$M229))),OR($BA$14="",ISNUMBER(SEARCH($BA$14,'All Data'!$K229&amp;" "&amp;'All Data'!$M229))),OR($BA$15="",ISNUMBER(SEARCH($BA$15,'All Data'!$K229&amp;" "&amp;'All Data'!$M229)))),1,0)</f>
        <v>1</v>
      </c>
      <c r="H229">
        <f t="shared" si="18"/>
        <v>0</v>
      </c>
      <c r="I229">
        <f>IF(AND($H229=1,'All Data'!$C229&lt;&gt;"",COUNTIFS($H$2:H228,1,'All Data'!$C$2:$C228,'All Data'!$C229)=0),1,0)</f>
        <v>0</v>
      </c>
      <c r="J229" t="str">
        <f>IF($I229=1,SUM($I$2:I229),"")</f>
        <v/>
      </c>
      <c r="K229">
        <f t="shared" si="19"/>
        <v>0</v>
      </c>
      <c r="L229">
        <f>IF(AND($K229=1,'All Data'!$D229&lt;&gt;"",COUNTIFS($K$2:K228,1,'All Data'!$D$2:$D228,'All Data'!$D229)=0),1,0)</f>
        <v>0</v>
      </c>
      <c r="M229" t="str">
        <f>IF($L229=1,SUM($L$2:L229),"")</f>
        <v/>
      </c>
      <c r="N229">
        <f t="shared" si="20"/>
        <v>0</v>
      </c>
      <c r="O229">
        <f>IF(AND($N229=1,'All Data'!$E229&lt;&gt;"",COUNTIFS($N$2:N228,1,'All Data'!$E$2:$E228,'All Data'!$E229)=0),1,0)</f>
        <v>0</v>
      </c>
      <c r="P229" t="str">
        <f>IF($O229=1,SUM($O$2:O229),"")</f>
        <v/>
      </c>
      <c r="Q229">
        <f t="shared" si="21"/>
        <v>0</v>
      </c>
      <c r="R229">
        <f>IF(AND($Q229=1,'All Data'!$F229&lt;&gt;"",COUNTIFS($Q$2:Q228,1,'All Data'!$F$2:$F228,'All Data'!$F229)=0),1,0)</f>
        <v>0</v>
      </c>
      <c r="S229" t="str">
        <f>IF($R229=1,SUM($R$2:R229),"")</f>
        <v/>
      </c>
      <c r="T229">
        <f t="shared" si="22"/>
        <v>0</v>
      </c>
      <c r="U229">
        <f>IF(AND($T229=1,'All Data'!$G229&lt;&gt;"",COUNTIFS($T$2:T228,1,'All Data'!$G$2:$G228,'All Data'!$G229)=0),1,0)</f>
        <v>0</v>
      </c>
      <c r="V229" t="str">
        <f>IF($U229=1,SUM($U$2:U229),"")</f>
        <v/>
      </c>
      <c r="W229">
        <f t="shared" si="23"/>
        <v>0</v>
      </c>
      <c r="X229" t="str">
        <f>IF($W229=1,SUM($W$2:W229),"")</f>
        <v/>
      </c>
    </row>
    <row r="230" spans="1:24" x14ac:dyDescent="0.3">
      <c r="A230">
        <f>IF(OR($BA1="Any",$BA1=""),1,IF('All Data'!$B230=$BA1,1,0))</f>
        <v>0</v>
      </c>
      <c r="B230">
        <f>IF(OR($BA2="Any",$BA2=""),1,IF('All Data'!$C230=$BA2,1,0))</f>
        <v>1</v>
      </c>
      <c r="C230">
        <f>IF(OR($BA3="Any",$BA3=""),1,IF('All Data'!$D230=$BA3,1,0))</f>
        <v>1</v>
      </c>
      <c r="D230">
        <f>IF(OR($BA4="Any",$BA4=""),1,IF('All Data'!$E230=$BA4,1,0))</f>
        <v>1</v>
      </c>
      <c r="E230">
        <f>IF(OR($BA5="Any",$BA5=""),1,IF('All Data'!$F230=$BA5,1,0))</f>
        <v>1</v>
      </c>
      <c r="F230">
        <f>IF(OR($BA6="Any",$BA6=""),1,IF('All Data'!$G230=$BA6,1,0))</f>
        <v>0</v>
      </c>
      <c r="G230">
        <f>IF(AND(OR($BA$8="",ISNUMBER(SEARCH($BA$8,'All Data'!$K230&amp;" "&amp;'All Data'!$M230))),OR($BA$9="",ISNUMBER(SEARCH($BA$9,'All Data'!$K230&amp;" "&amp;'All Data'!$M230))),OR($BA$10="",ISNUMBER(SEARCH($BA$10,'All Data'!$K230&amp;" "&amp;'All Data'!$M230))),OR($BA$11="",ISNUMBER(SEARCH($BA$11,'All Data'!$K230&amp;" "&amp;'All Data'!$M230))),OR($BA$12="",ISNUMBER(SEARCH($BA$12,'All Data'!$K230&amp;" "&amp;'All Data'!$M230))),OR($BA$13="",ISNUMBER(SEARCH($BA$13,'All Data'!$K230&amp;" "&amp;'All Data'!$M230))),OR($BA$14="",ISNUMBER(SEARCH($BA$14,'All Data'!$K230&amp;" "&amp;'All Data'!$M230))),OR($BA$15="",ISNUMBER(SEARCH($BA$15,'All Data'!$K230&amp;" "&amp;'All Data'!$M230)))),1,0)</f>
        <v>1</v>
      </c>
      <c r="H230">
        <f t="shared" si="18"/>
        <v>0</v>
      </c>
      <c r="I230">
        <f>IF(AND($H230=1,'All Data'!$C230&lt;&gt;"",COUNTIFS($H$2:H229,1,'All Data'!$C$2:$C229,'All Data'!$C230)=0),1,0)</f>
        <v>0</v>
      </c>
      <c r="J230" t="str">
        <f>IF($I230=1,SUM($I$2:I230),"")</f>
        <v/>
      </c>
      <c r="K230">
        <f t="shared" si="19"/>
        <v>0</v>
      </c>
      <c r="L230">
        <f>IF(AND($K230=1,'All Data'!$D230&lt;&gt;"",COUNTIFS($K$2:K229,1,'All Data'!$D$2:$D229,'All Data'!$D230)=0),1,0)</f>
        <v>0</v>
      </c>
      <c r="M230" t="str">
        <f>IF($L230=1,SUM($L$2:L230),"")</f>
        <v/>
      </c>
      <c r="N230">
        <f t="shared" si="20"/>
        <v>0</v>
      </c>
      <c r="O230">
        <f>IF(AND($N230=1,'All Data'!$E230&lt;&gt;"",COUNTIFS($N$2:N229,1,'All Data'!$E$2:$E229,'All Data'!$E230)=0),1,0)</f>
        <v>0</v>
      </c>
      <c r="P230" t="str">
        <f>IF($O230=1,SUM($O$2:O230),"")</f>
        <v/>
      </c>
      <c r="Q230">
        <f t="shared" si="21"/>
        <v>0</v>
      </c>
      <c r="R230">
        <f>IF(AND($Q230=1,'All Data'!$F230&lt;&gt;"",COUNTIFS($Q$2:Q229,1,'All Data'!$F$2:$F229,'All Data'!$F230)=0),1,0)</f>
        <v>0</v>
      </c>
      <c r="S230" t="str">
        <f>IF($R230=1,SUM($R$2:R230),"")</f>
        <v/>
      </c>
      <c r="T230">
        <f t="shared" si="22"/>
        <v>0</v>
      </c>
      <c r="U230">
        <f>IF(AND($T230=1,'All Data'!$G230&lt;&gt;"",COUNTIFS($T$2:T229,1,'All Data'!$G$2:$G229,'All Data'!$G230)=0),1,0)</f>
        <v>0</v>
      </c>
      <c r="V230" t="str">
        <f>IF($U230=1,SUM($U$2:U230),"")</f>
        <v/>
      </c>
      <c r="W230">
        <f t="shared" si="23"/>
        <v>0</v>
      </c>
      <c r="X230" t="str">
        <f>IF($W230=1,SUM($W$2:W230),"")</f>
        <v/>
      </c>
    </row>
    <row r="231" spans="1:24" x14ac:dyDescent="0.3">
      <c r="A231">
        <f>IF(OR($BA1="Any",$BA1=""),1,IF('All Data'!$B231=$BA1,1,0))</f>
        <v>0</v>
      </c>
      <c r="B231">
        <f>IF(OR($BA2="Any",$BA2=""),1,IF('All Data'!$C231=$BA2,1,0))</f>
        <v>1</v>
      </c>
      <c r="C231">
        <f>IF(OR($BA3="Any",$BA3=""),1,IF('All Data'!$D231=$BA3,1,0))</f>
        <v>1</v>
      </c>
      <c r="D231">
        <f>IF(OR($BA4="Any",$BA4=""),1,IF('All Data'!$E231=$BA4,1,0))</f>
        <v>1</v>
      </c>
      <c r="E231">
        <f>IF(OR($BA5="Any",$BA5=""),1,IF('All Data'!$F231=$BA5,1,0))</f>
        <v>1</v>
      </c>
      <c r="F231">
        <f>IF(OR($BA6="Any",$BA6=""),1,IF('All Data'!$G231=$BA6,1,0))</f>
        <v>0</v>
      </c>
      <c r="G231">
        <f>IF(AND(OR($BA$8="",ISNUMBER(SEARCH($BA$8,'All Data'!$K231&amp;" "&amp;'All Data'!$M231))),OR($BA$9="",ISNUMBER(SEARCH($BA$9,'All Data'!$K231&amp;" "&amp;'All Data'!$M231))),OR($BA$10="",ISNUMBER(SEARCH($BA$10,'All Data'!$K231&amp;" "&amp;'All Data'!$M231))),OR($BA$11="",ISNUMBER(SEARCH($BA$11,'All Data'!$K231&amp;" "&amp;'All Data'!$M231))),OR($BA$12="",ISNUMBER(SEARCH($BA$12,'All Data'!$K231&amp;" "&amp;'All Data'!$M231))),OR($BA$13="",ISNUMBER(SEARCH($BA$13,'All Data'!$K231&amp;" "&amp;'All Data'!$M231))),OR($BA$14="",ISNUMBER(SEARCH($BA$14,'All Data'!$K231&amp;" "&amp;'All Data'!$M231))),OR($BA$15="",ISNUMBER(SEARCH($BA$15,'All Data'!$K231&amp;" "&amp;'All Data'!$M231)))),1,0)</f>
        <v>1</v>
      </c>
      <c r="H231">
        <f t="shared" si="18"/>
        <v>0</v>
      </c>
      <c r="I231">
        <f>IF(AND($H231=1,'All Data'!$C231&lt;&gt;"",COUNTIFS($H$2:H230,1,'All Data'!$C$2:$C230,'All Data'!$C231)=0),1,0)</f>
        <v>0</v>
      </c>
      <c r="J231" t="str">
        <f>IF($I231=1,SUM($I$2:I231),"")</f>
        <v/>
      </c>
      <c r="K231">
        <f t="shared" si="19"/>
        <v>0</v>
      </c>
      <c r="L231">
        <f>IF(AND($K231=1,'All Data'!$D231&lt;&gt;"",COUNTIFS($K$2:K230,1,'All Data'!$D$2:$D230,'All Data'!$D231)=0),1,0)</f>
        <v>0</v>
      </c>
      <c r="M231" t="str">
        <f>IF($L231=1,SUM($L$2:L231),"")</f>
        <v/>
      </c>
      <c r="N231">
        <f t="shared" si="20"/>
        <v>0</v>
      </c>
      <c r="O231">
        <f>IF(AND($N231=1,'All Data'!$E231&lt;&gt;"",COUNTIFS($N$2:N230,1,'All Data'!$E$2:$E230,'All Data'!$E231)=0),1,0)</f>
        <v>0</v>
      </c>
      <c r="P231" t="str">
        <f>IF($O231=1,SUM($O$2:O231),"")</f>
        <v/>
      </c>
      <c r="Q231">
        <f t="shared" si="21"/>
        <v>0</v>
      </c>
      <c r="R231">
        <f>IF(AND($Q231=1,'All Data'!$F231&lt;&gt;"",COUNTIFS($Q$2:Q230,1,'All Data'!$F$2:$F230,'All Data'!$F231)=0),1,0)</f>
        <v>0</v>
      </c>
      <c r="S231" t="str">
        <f>IF($R231=1,SUM($R$2:R231),"")</f>
        <v/>
      </c>
      <c r="T231">
        <f t="shared" si="22"/>
        <v>0</v>
      </c>
      <c r="U231">
        <f>IF(AND($T231=1,'All Data'!$G231&lt;&gt;"",COUNTIFS($T$2:T230,1,'All Data'!$G$2:$G230,'All Data'!$G231)=0),1,0)</f>
        <v>0</v>
      </c>
      <c r="V231" t="str">
        <f>IF($U231=1,SUM($U$2:U231),"")</f>
        <v/>
      </c>
      <c r="W231">
        <f t="shared" si="23"/>
        <v>0</v>
      </c>
      <c r="X231" t="str">
        <f>IF($W231=1,SUM($W$2:W231),"")</f>
        <v/>
      </c>
    </row>
    <row r="232" spans="1:24" x14ac:dyDescent="0.3">
      <c r="A232">
        <f>IF(OR($BA1="Any",$BA1=""),1,IF('All Data'!$B232=$BA1,1,0))</f>
        <v>0</v>
      </c>
      <c r="B232">
        <f>IF(OR($BA2="Any",$BA2=""),1,IF('All Data'!$C232=$BA2,1,0))</f>
        <v>1</v>
      </c>
      <c r="C232">
        <f>IF(OR($BA3="Any",$BA3=""),1,IF('All Data'!$D232=$BA3,1,0))</f>
        <v>1</v>
      </c>
      <c r="D232">
        <f>IF(OR($BA4="Any",$BA4=""),1,IF('All Data'!$E232=$BA4,1,0))</f>
        <v>1</v>
      </c>
      <c r="E232">
        <f>IF(OR($BA5="Any",$BA5=""),1,IF('All Data'!$F232=$BA5,1,0))</f>
        <v>1</v>
      </c>
      <c r="F232">
        <f>IF(OR($BA6="Any",$BA6=""),1,IF('All Data'!$G232=$BA6,1,0))</f>
        <v>0</v>
      </c>
      <c r="G232">
        <f>IF(AND(OR($BA$8="",ISNUMBER(SEARCH($BA$8,'All Data'!$K232&amp;" "&amp;'All Data'!$M232))),OR($BA$9="",ISNUMBER(SEARCH($BA$9,'All Data'!$K232&amp;" "&amp;'All Data'!$M232))),OR($BA$10="",ISNUMBER(SEARCH($BA$10,'All Data'!$K232&amp;" "&amp;'All Data'!$M232))),OR($BA$11="",ISNUMBER(SEARCH($BA$11,'All Data'!$K232&amp;" "&amp;'All Data'!$M232))),OR($BA$12="",ISNUMBER(SEARCH($BA$12,'All Data'!$K232&amp;" "&amp;'All Data'!$M232))),OR($BA$13="",ISNUMBER(SEARCH($BA$13,'All Data'!$K232&amp;" "&amp;'All Data'!$M232))),OR($BA$14="",ISNUMBER(SEARCH($BA$14,'All Data'!$K232&amp;" "&amp;'All Data'!$M232))),OR($BA$15="",ISNUMBER(SEARCH($BA$15,'All Data'!$K232&amp;" "&amp;'All Data'!$M232)))),1,0)</f>
        <v>1</v>
      </c>
      <c r="H232">
        <f t="shared" si="18"/>
        <v>0</v>
      </c>
      <c r="I232">
        <f>IF(AND($H232=1,'All Data'!$C232&lt;&gt;"",COUNTIFS($H$2:H231,1,'All Data'!$C$2:$C231,'All Data'!$C232)=0),1,0)</f>
        <v>0</v>
      </c>
      <c r="J232" t="str">
        <f>IF($I232=1,SUM($I$2:I232),"")</f>
        <v/>
      </c>
      <c r="K232">
        <f t="shared" si="19"/>
        <v>0</v>
      </c>
      <c r="L232">
        <f>IF(AND($K232=1,'All Data'!$D232&lt;&gt;"",COUNTIFS($K$2:K231,1,'All Data'!$D$2:$D231,'All Data'!$D232)=0),1,0)</f>
        <v>0</v>
      </c>
      <c r="M232" t="str">
        <f>IF($L232=1,SUM($L$2:L232),"")</f>
        <v/>
      </c>
      <c r="N232">
        <f t="shared" si="20"/>
        <v>0</v>
      </c>
      <c r="O232">
        <f>IF(AND($N232=1,'All Data'!$E232&lt;&gt;"",COUNTIFS($N$2:N231,1,'All Data'!$E$2:$E231,'All Data'!$E232)=0),1,0)</f>
        <v>0</v>
      </c>
      <c r="P232" t="str">
        <f>IF($O232=1,SUM($O$2:O232),"")</f>
        <v/>
      </c>
      <c r="Q232">
        <f t="shared" si="21"/>
        <v>0</v>
      </c>
      <c r="R232">
        <f>IF(AND($Q232=1,'All Data'!$F232&lt;&gt;"",COUNTIFS($Q$2:Q231,1,'All Data'!$F$2:$F231,'All Data'!$F232)=0),1,0)</f>
        <v>0</v>
      </c>
      <c r="S232" t="str">
        <f>IF($R232=1,SUM($R$2:R232),"")</f>
        <v/>
      </c>
      <c r="T232">
        <f t="shared" si="22"/>
        <v>0</v>
      </c>
      <c r="U232">
        <f>IF(AND($T232=1,'All Data'!$G232&lt;&gt;"",COUNTIFS($T$2:T231,1,'All Data'!$G$2:$G231,'All Data'!$G232)=0),1,0)</f>
        <v>0</v>
      </c>
      <c r="V232" t="str">
        <f>IF($U232=1,SUM($U$2:U232),"")</f>
        <v/>
      </c>
      <c r="W232">
        <f t="shared" si="23"/>
        <v>0</v>
      </c>
      <c r="X232" t="str">
        <f>IF($W232=1,SUM($W$2:W232),"")</f>
        <v/>
      </c>
    </row>
    <row r="233" spans="1:24" x14ac:dyDescent="0.3">
      <c r="A233">
        <f>IF(OR($BA1="Any",$BA1=""),1,IF('All Data'!$B233=$BA1,1,0))</f>
        <v>0</v>
      </c>
      <c r="B233">
        <f>IF(OR($BA2="Any",$BA2=""),1,IF('All Data'!$C233=$BA2,1,0))</f>
        <v>1</v>
      </c>
      <c r="C233">
        <f>IF(OR($BA3="Any",$BA3=""),1,IF('All Data'!$D233=$BA3,1,0))</f>
        <v>1</v>
      </c>
      <c r="D233">
        <f>IF(OR($BA4="Any",$BA4=""),1,IF('All Data'!$E233=$BA4,1,0))</f>
        <v>1</v>
      </c>
      <c r="E233">
        <f>IF(OR($BA5="Any",$BA5=""),1,IF('All Data'!$F233=$BA5,1,0))</f>
        <v>1</v>
      </c>
      <c r="F233">
        <f>IF(OR($BA6="Any",$BA6=""),1,IF('All Data'!$G233=$BA6,1,0))</f>
        <v>0</v>
      </c>
      <c r="G233">
        <f>IF(AND(OR($BA$8="",ISNUMBER(SEARCH($BA$8,'All Data'!$K233&amp;" "&amp;'All Data'!$M233))),OR($BA$9="",ISNUMBER(SEARCH($BA$9,'All Data'!$K233&amp;" "&amp;'All Data'!$M233))),OR($BA$10="",ISNUMBER(SEARCH($BA$10,'All Data'!$K233&amp;" "&amp;'All Data'!$M233))),OR($BA$11="",ISNUMBER(SEARCH($BA$11,'All Data'!$K233&amp;" "&amp;'All Data'!$M233))),OR($BA$12="",ISNUMBER(SEARCH($BA$12,'All Data'!$K233&amp;" "&amp;'All Data'!$M233))),OR($BA$13="",ISNUMBER(SEARCH($BA$13,'All Data'!$K233&amp;" "&amp;'All Data'!$M233))),OR($BA$14="",ISNUMBER(SEARCH($BA$14,'All Data'!$K233&amp;" "&amp;'All Data'!$M233))),OR($BA$15="",ISNUMBER(SEARCH($BA$15,'All Data'!$K233&amp;" "&amp;'All Data'!$M233)))),1,0)</f>
        <v>1</v>
      </c>
      <c r="H233">
        <f t="shared" si="18"/>
        <v>0</v>
      </c>
      <c r="I233">
        <f>IF(AND($H233=1,'All Data'!$C233&lt;&gt;"",COUNTIFS($H$2:H232,1,'All Data'!$C$2:$C232,'All Data'!$C233)=0),1,0)</f>
        <v>0</v>
      </c>
      <c r="J233" t="str">
        <f>IF($I233=1,SUM($I$2:I233),"")</f>
        <v/>
      </c>
      <c r="K233">
        <f t="shared" si="19"/>
        <v>0</v>
      </c>
      <c r="L233">
        <f>IF(AND($K233=1,'All Data'!$D233&lt;&gt;"",COUNTIFS($K$2:K232,1,'All Data'!$D$2:$D232,'All Data'!$D233)=0),1,0)</f>
        <v>0</v>
      </c>
      <c r="M233" t="str">
        <f>IF($L233=1,SUM($L$2:L233),"")</f>
        <v/>
      </c>
      <c r="N233">
        <f t="shared" si="20"/>
        <v>0</v>
      </c>
      <c r="O233">
        <f>IF(AND($N233=1,'All Data'!$E233&lt;&gt;"",COUNTIFS($N$2:N232,1,'All Data'!$E$2:$E232,'All Data'!$E233)=0),1,0)</f>
        <v>0</v>
      </c>
      <c r="P233" t="str">
        <f>IF($O233=1,SUM($O$2:O233),"")</f>
        <v/>
      </c>
      <c r="Q233">
        <f t="shared" si="21"/>
        <v>0</v>
      </c>
      <c r="R233">
        <f>IF(AND($Q233=1,'All Data'!$F233&lt;&gt;"",COUNTIFS($Q$2:Q232,1,'All Data'!$F$2:$F232,'All Data'!$F233)=0),1,0)</f>
        <v>0</v>
      </c>
      <c r="S233" t="str">
        <f>IF($R233=1,SUM($R$2:R233),"")</f>
        <v/>
      </c>
      <c r="T233">
        <f t="shared" si="22"/>
        <v>0</v>
      </c>
      <c r="U233">
        <f>IF(AND($T233=1,'All Data'!$G233&lt;&gt;"",COUNTIFS($T$2:T232,1,'All Data'!$G$2:$G232,'All Data'!$G233)=0),1,0)</f>
        <v>0</v>
      </c>
      <c r="V233" t="str">
        <f>IF($U233=1,SUM($U$2:U233),"")</f>
        <v/>
      </c>
      <c r="W233">
        <f t="shared" si="23"/>
        <v>0</v>
      </c>
      <c r="X233" t="str">
        <f>IF($W233=1,SUM($W$2:W233),"")</f>
        <v/>
      </c>
    </row>
    <row r="234" spans="1:24" x14ac:dyDescent="0.3">
      <c r="A234">
        <f>IF(OR($BA1="Any",$BA1=""),1,IF('All Data'!$B234=$BA1,1,0))</f>
        <v>0</v>
      </c>
      <c r="B234">
        <f>IF(OR($BA2="Any",$BA2=""),1,IF('All Data'!$C234=$BA2,1,0))</f>
        <v>1</v>
      </c>
      <c r="C234">
        <f>IF(OR($BA3="Any",$BA3=""),1,IF('All Data'!$D234=$BA3,1,0))</f>
        <v>1</v>
      </c>
      <c r="D234">
        <f>IF(OR($BA4="Any",$BA4=""),1,IF('All Data'!$E234=$BA4,1,0))</f>
        <v>1</v>
      </c>
      <c r="E234">
        <f>IF(OR($BA5="Any",$BA5=""),1,IF('All Data'!$F234=$BA5,1,0))</f>
        <v>1</v>
      </c>
      <c r="F234">
        <f>IF(OR($BA6="Any",$BA6=""),1,IF('All Data'!$G234=$BA6,1,0))</f>
        <v>0</v>
      </c>
      <c r="G234">
        <f>IF(AND(OR($BA$8="",ISNUMBER(SEARCH($BA$8,'All Data'!$K234&amp;" "&amp;'All Data'!$M234))),OR($BA$9="",ISNUMBER(SEARCH($BA$9,'All Data'!$K234&amp;" "&amp;'All Data'!$M234))),OR($BA$10="",ISNUMBER(SEARCH($BA$10,'All Data'!$K234&amp;" "&amp;'All Data'!$M234))),OR($BA$11="",ISNUMBER(SEARCH($BA$11,'All Data'!$K234&amp;" "&amp;'All Data'!$M234))),OR($BA$12="",ISNUMBER(SEARCH($BA$12,'All Data'!$K234&amp;" "&amp;'All Data'!$M234))),OR($BA$13="",ISNUMBER(SEARCH($BA$13,'All Data'!$K234&amp;" "&amp;'All Data'!$M234))),OR($BA$14="",ISNUMBER(SEARCH($BA$14,'All Data'!$K234&amp;" "&amp;'All Data'!$M234))),OR($BA$15="",ISNUMBER(SEARCH($BA$15,'All Data'!$K234&amp;" "&amp;'All Data'!$M234)))),1,0)</f>
        <v>1</v>
      </c>
      <c r="H234">
        <f t="shared" si="18"/>
        <v>0</v>
      </c>
      <c r="I234">
        <f>IF(AND($H234=1,'All Data'!$C234&lt;&gt;"",COUNTIFS($H$2:H233,1,'All Data'!$C$2:$C233,'All Data'!$C234)=0),1,0)</f>
        <v>0</v>
      </c>
      <c r="J234" t="str">
        <f>IF($I234=1,SUM($I$2:I234),"")</f>
        <v/>
      </c>
      <c r="K234">
        <f t="shared" si="19"/>
        <v>0</v>
      </c>
      <c r="L234">
        <f>IF(AND($K234=1,'All Data'!$D234&lt;&gt;"",COUNTIFS($K$2:K233,1,'All Data'!$D$2:$D233,'All Data'!$D234)=0),1,0)</f>
        <v>0</v>
      </c>
      <c r="M234" t="str">
        <f>IF($L234=1,SUM($L$2:L234),"")</f>
        <v/>
      </c>
      <c r="N234">
        <f t="shared" si="20"/>
        <v>0</v>
      </c>
      <c r="O234">
        <f>IF(AND($N234=1,'All Data'!$E234&lt;&gt;"",COUNTIFS($N$2:N233,1,'All Data'!$E$2:$E233,'All Data'!$E234)=0),1,0)</f>
        <v>0</v>
      </c>
      <c r="P234" t="str">
        <f>IF($O234=1,SUM($O$2:O234),"")</f>
        <v/>
      </c>
      <c r="Q234">
        <f t="shared" si="21"/>
        <v>0</v>
      </c>
      <c r="R234">
        <f>IF(AND($Q234=1,'All Data'!$F234&lt;&gt;"",COUNTIFS($Q$2:Q233,1,'All Data'!$F$2:$F233,'All Data'!$F234)=0),1,0)</f>
        <v>0</v>
      </c>
      <c r="S234" t="str">
        <f>IF($R234=1,SUM($R$2:R234),"")</f>
        <v/>
      </c>
      <c r="T234">
        <f t="shared" si="22"/>
        <v>0</v>
      </c>
      <c r="U234">
        <f>IF(AND($T234=1,'All Data'!$G234&lt;&gt;"",COUNTIFS($T$2:T233,1,'All Data'!$G$2:$G233,'All Data'!$G234)=0),1,0)</f>
        <v>0</v>
      </c>
      <c r="V234" t="str">
        <f>IF($U234=1,SUM($U$2:U234),"")</f>
        <v/>
      </c>
      <c r="W234">
        <f t="shared" si="23"/>
        <v>0</v>
      </c>
      <c r="X234" t="str">
        <f>IF($W234=1,SUM($W$2:W234),"")</f>
        <v/>
      </c>
    </row>
    <row r="235" spans="1:24" x14ac:dyDescent="0.3">
      <c r="A235">
        <f>IF(OR($BA1="Any",$BA1=""),1,IF('All Data'!$B235=$BA1,1,0))</f>
        <v>0</v>
      </c>
      <c r="B235">
        <f>IF(OR($BA2="Any",$BA2=""),1,IF('All Data'!$C235=$BA2,1,0))</f>
        <v>1</v>
      </c>
      <c r="C235">
        <f>IF(OR($BA3="Any",$BA3=""),1,IF('All Data'!$D235=$BA3,1,0))</f>
        <v>1</v>
      </c>
      <c r="D235">
        <f>IF(OR($BA4="Any",$BA4=""),1,IF('All Data'!$E235=$BA4,1,0))</f>
        <v>1</v>
      </c>
      <c r="E235">
        <f>IF(OR($BA5="Any",$BA5=""),1,IF('All Data'!$F235=$BA5,1,0))</f>
        <v>1</v>
      </c>
      <c r="F235">
        <f>IF(OR($BA6="Any",$BA6=""),1,IF('All Data'!$G235=$BA6,1,0))</f>
        <v>0</v>
      </c>
      <c r="G235">
        <f>IF(AND(OR($BA$8="",ISNUMBER(SEARCH($BA$8,'All Data'!$K235&amp;" "&amp;'All Data'!$M235))),OR($BA$9="",ISNUMBER(SEARCH($BA$9,'All Data'!$K235&amp;" "&amp;'All Data'!$M235))),OR($BA$10="",ISNUMBER(SEARCH($BA$10,'All Data'!$K235&amp;" "&amp;'All Data'!$M235))),OR($BA$11="",ISNUMBER(SEARCH($BA$11,'All Data'!$K235&amp;" "&amp;'All Data'!$M235))),OR($BA$12="",ISNUMBER(SEARCH($BA$12,'All Data'!$K235&amp;" "&amp;'All Data'!$M235))),OR($BA$13="",ISNUMBER(SEARCH($BA$13,'All Data'!$K235&amp;" "&amp;'All Data'!$M235))),OR($BA$14="",ISNUMBER(SEARCH($BA$14,'All Data'!$K235&amp;" "&amp;'All Data'!$M235))),OR($BA$15="",ISNUMBER(SEARCH($BA$15,'All Data'!$K235&amp;" "&amp;'All Data'!$M235)))),1,0)</f>
        <v>1</v>
      </c>
      <c r="H235">
        <f t="shared" si="18"/>
        <v>0</v>
      </c>
      <c r="I235">
        <f>IF(AND($H235=1,'All Data'!$C235&lt;&gt;"",COUNTIFS($H$2:H234,1,'All Data'!$C$2:$C234,'All Data'!$C235)=0),1,0)</f>
        <v>0</v>
      </c>
      <c r="J235" t="str">
        <f>IF($I235=1,SUM($I$2:I235),"")</f>
        <v/>
      </c>
      <c r="K235">
        <f t="shared" si="19"/>
        <v>0</v>
      </c>
      <c r="L235">
        <f>IF(AND($K235=1,'All Data'!$D235&lt;&gt;"",COUNTIFS($K$2:K234,1,'All Data'!$D$2:$D234,'All Data'!$D235)=0),1,0)</f>
        <v>0</v>
      </c>
      <c r="M235" t="str">
        <f>IF($L235=1,SUM($L$2:L235),"")</f>
        <v/>
      </c>
      <c r="N235">
        <f t="shared" si="20"/>
        <v>0</v>
      </c>
      <c r="O235">
        <f>IF(AND($N235=1,'All Data'!$E235&lt;&gt;"",COUNTIFS($N$2:N234,1,'All Data'!$E$2:$E234,'All Data'!$E235)=0),1,0)</f>
        <v>0</v>
      </c>
      <c r="P235" t="str">
        <f>IF($O235=1,SUM($O$2:O235),"")</f>
        <v/>
      </c>
      <c r="Q235">
        <f t="shared" si="21"/>
        <v>0</v>
      </c>
      <c r="R235">
        <f>IF(AND($Q235=1,'All Data'!$F235&lt;&gt;"",COUNTIFS($Q$2:Q234,1,'All Data'!$F$2:$F234,'All Data'!$F235)=0),1,0)</f>
        <v>0</v>
      </c>
      <c r="S235" t="str">
        <f>IF($R235=1,SUM($R$2:R235),"")</f>
        <v/>
      </c>
      <c r="T235">
        <f t="shared" si="22"/>
        <v>0</v>
      </c>
      <c r="U235">
        <f>IF(AND($T235=1,'All Data'!$G235&lt;&gt;"",COUNTIFS($T$2:T234,1,'All Data'!$G$2:$G234,'All Data'!$G235)=0),1,0)</f>
        <v>0</v>
      </c>
      <c r="V235" t="str">
        <f>IF($U235=1,SUM($U$2:U235),"")</f>
        <v/>
      </c>
      <c r="W235">
        <f t="shared" si="23"/>
        <v>0</v>
      </c>
      <c r="X235" t="str">
        <f>IF($W235=1,SUM($W$2:W235),"")</f>
        <v/>
      </c>
    </row>
    <row r="236" spans="1:24" x14ac:dyDescent="0.3">
      <c r="A236">
        <f>IF(OR($BA1="Any",$BA1=""),1,IF('All Data'!$B236=$BA1,1,0))</f>
        <v>0</v>
      </c>
      <c r="B236">
        <f>IF(OR($BA2="Any",$BA2=""),1,IF('All Data'!$C236=$BA2,1,0))</f>
        <v>1</v>
      </c>
      <c r="C236">
        <f>IF(OR($BA3="Any",$BA3=""),1,IF('All Data'!$D236=$BA3,1,0))</f>
        <v>1</v>
      </c>
      <c r="D236">
        <f>IF(OR($BA4="Any",$BA4=""),1,IF('All Data'!$E236=$BA4,1,0))</f>
        <v>1</v>
      </c>
      <c r="E236">
        <f>IF(OR($BA5="Any",$BA5=""),1,IF('All Data'!$F236=$BA5,1,0))</f>
        <v>1</v>
      </c>
      <c r="F236">
        <f>IF(OR($BA6="Any",$BA6=""),1,IF('All Data'!$G236=$BA6,1,0))</f>
        <v>0</v>
      </c>
      <c r="G236">
        <f>IF(AND(OR($BA$8="",ISNUMBER(SEARCH($BA$8,'All Data'!$K236&amp;" "&amp;'All Data'!$M236))),OR($BA$9="",ISNUMBER(SEARCH($BA$9,'All Data'!$K236&amp;" "&amp;'All Data'!$M236))),OR($BA$10="",ISNUMBER(SEARCH($BA$10,'All Data'!$K236&amp;" "&amp;'All Data'!$M236))),OR($BA$11="",ISNUMBER(SEARCH($BA$11,'All Data'!$K236&amp;" "&amp;'All Data'!$M236))),OR($BA$12="",ISNUMBER(SEARCH($BA$12,'All Data'!$K236&amp;" "&amp;'All Data'!$M236))),OR($BA$13="",ISNUMBER(SEARCH($BA$13,'All Data'!$K236&amp;" "&amp;'All Data'!$M236))),OR($BA$14="",ISNUMBER(SEARCH($BA$14,'All Data'!$K236&amp;" "&amp;'All Data'!$M236))),OR($BA$15="",ISNUMBER(SEARCH($BA$15,'All Data'!$K236&amp;" "&amp;'All Data'!$M236)))),1,0)</f>
        <v>1</v>
      </c>
      <c r="H236">
        <f t="shared" si="18"/>
        <v>0</v>
      </c>
      <c r="I236">
        <f>IF(AND($H236=1,'All Data'!$C236&lt;&gt;"",COUNTIFS($H$2:H235,1,'All Data'!$C$2:$C235,'All Data'!$C236)=0),1,0)</f>
        <v>0</v>
      </c>
      <c r="J236" t="str">
        <f>IF($I236=1,SUM($I$2:I236),"")</f>
        <v/>
      </c>
      <c r="K236">
        <f t="shared" si="19"/>
        <v>0</v>
      </c>
      <c r="L236">
        <f>IF(AND($K236=1,'All Data'!$D236&lt;&gt;"",COUNTIFS($K$2:K235,1,'All Data'!$D$2:$D235,'All Data'!$D236)=0),1,0)</f>
        <v>0</v>
      </c>
      <c r="M236" t="str">
        <f>IF($L236=1,SUM($L$2:L236),"")</f>
        <v/>
      </c>
      <c r="N236">
        <f t="shared" si="20"/>
        <v>0</v>
      </c>
      <c r="O236">
        <f>IF(AND($N236=1,'All Data'!$E236&lt;&gt;"",COUNTIFS($N$2:N235,1,'All Data'!$E$2:$E235,'All Data'!$E236)=0),1,0)</f>
        <v>0</v>
      </c>
      <c r="P236" t="str">
        <f>IF($O236=1,SUM($O$2:O236),"")</f>
        <v/>
      </c>
      <c r="Q236">
        <f t="shared" si="21"/>
        <v>0</v>
      </c>
      <c r="R236">
        <f>IF(AND($Q236=1,'All Data'!$F236&lt;&gt;"",COUNTIFS($Q$2:Q235,1,'All Data'!$F$2:$F235,'All Data'!$F236)=0),1,0)</f>
        <v>0</v>
      </c>
      <c r="S236" t="str">
        <f>IF($R236=1,SUM($R$2:R236),"")</f>
        <v/>
      </c>
      <c r="T236">
        <f t="shared" si="22"/>
        <v>0</v>
      </c>
      <c r="U236">
        <f>IF(AND($T236=1,'All Data'!$G236&lt;&gt;"",COUNTIFS($T$2:T235,1,'All Data'!$G$2:$G235,'All Data'!$G236)=0),1,0)</f>
        <v>0</v>
      </c>
      <c r="V236" t="str">
        <f>IF($U236=1,SUM($U$2:U236),"")</f>
        <v/>
      </c>
      <c r="W236">
        <f t="shared" si="23"/>
        <v>0</v>
      </c>
      <c r="X236" t="str">
        <f>IF($W236=1,SUM($W$2:W236),"")</f>
        <v/>
      </c>
    </row>
    <row r="237" spans="1:24" x14ac:dyDescent="0.3">
      <c r="A237">
        <f>IF(OR($BA1="Any",$BA1=""),1,IF('All Data'!$B237=$BA1,1,0))</f>
        <v>0</v>
      </c>
      <c r="B237">
        <f>IF(OR($BA2="Any",$BA2=""),1,IF('All Data'!$C237=$BA2,1,0))</f>
        <v>1</v>
      </c>
      <c r="C237">
        <f>IF(OR($BA3="Any",$BA3=""),1,IF('All Data'!$D237=$BA3,1,0))</f>
        <v>1</v>
      </c>
      <c r="D237">
        <f>IF(OR($BA4="Any",$BA4=""),1,IF('All Data'!$E237=$BA4,1,0))</f>
        <v>1</v>
      </c>
      <c r="E237">
        <f>IF(OR($BA5="Any",$BA5=""),1,IF('All Data'!$F237=$BA5,1,0))</f>
        <v>1</v>
      </c>
      <c r="F237">
        <f>IF(OR($BA6="Any",$BA6=""),1,IF('All Data'!$G237=$BA6,1,0))</f>
        <v>0</v>
      </c>
      <c r="G237">
        <f>IF(AND(OR($BA$8="",ISNUMBER(SEARCH($BA$8,'All Data'!$K237&amp;" "&amp;'All Data'!$M237))),OR($BA$9="",ISNUMBER(SEARCH($BA$9,'All Data'!$K237&amp;" "&amp;'All Data'!$M237))),OR($BA$10="",ISNUMBER(SEARCH($BA$10,'All Data'!$K237&amp;" "&amp;'All Data'!$M237))),OR($BA$11="",ISNUMBER(SEARCH($BA$11,'All Data'!$K237&amp;" "&amp;'All Data'!$M237))),OR($BA$12="",ISNUMBER(SEARCH($BA$12,'All Data'!$K237&amp;" "&amp;'All Data'!$M237))),OR($BA$13="",ISNUMBER(SEARCH($BA$13,'All Data'!$K237&amp;" "&amp;'All Data'!$M237))),OR($BA$14="",ISNUMBER(SEARCH($BA$14,'All Data'!$K237&amp;" "&amp;'All Data'!$M237))),OR($BA$15="",ISNUMBER(SEARCH($BA$15,'All Data'!$K237&amp;" "&amp;'All Data'!$M237)))),1,0)</f>
        <v>1</v>
      </c>
      <c r="H237">
        <f t="shared" si="18"/>
        <v>0</v>
      </c>
      <c r="I237">
        <f>IF(AND($H237=1,'All Data'!$C237&lt;&gt;"",COUNTIFS($H$2:H236,1,'All Data'!$C$2:$C236,'All Data'!$C237)=0),1,0)</f>
        <v>0</v>
      </c>
      <c r="J237" t="str">
        <f>IF($I237=1,SUM($I$2:I237),"")</f>
        <v/>
      </c>
      <c r="K237">
        <f t="shared" si="19"/>
        <v>0</v>
      </c>
      <c r="L237">
        <f>IF(AND($K237=1,'All Data'!$D237&lt;&gt;"",COUNTIFS($K$2:K236,1,'All Data'!$D$2:$D236,'All Data'!$D237)=0),1,0)</f>
        <v>0</v>
      </c>
      <c r="M237" t="str">
        <f>IF($L237=1,SUM($L$2:L237),"")</f>
        <v/>
      </c>
      <c r="N237">
        <f t="shared" si="20"/>
        <v>0</v>
      </c>
      <c r="O237">
        <f>IF(AND($N237=1,'All Data'!$E237&lt;&gt;"",COUNTIFS($N$2:N236,1,'All Data'!$E$2:$E236,'All Data'!$E237)=0),1,0)</f>
        <v>0</v>
      </c>
      <c r="P237" t="str">
        <f>IF($O237=1,SUM($O$2:O237),"")</f>
        <v/>
      </c>
      <c r="Q237">
        <f t="shared" si="21"/>
        <v>0</v>
      </c>
      <c r="R237">
        <f>IF(AND($Q237=1,'All Data'!$F237&lt;&gt;"",COUNTIFS($Q$2:Q236,1,'All Data'!$F$2:$F236,'All Data'!$F237)=0),1,0)</f>
        <v>0</v>
      </c>
      <c r="S237" t="str">
        <f>IF($R237=1,SUM($R$2:R237),"")</f>
        <v/>
      </c>
      <c r="T237">
        <f t="shared" si="22"/>
        <v>0</v>
      </c>
      <c r="U237">
        <f>IF(AND($T237=1,'All Data'!$G237&lt;&gt;"",COUNTIFS($T$2:T236,1,'All Data'!$G$2:$G236,'All Data'!$G237)=0),1,0)</f>
        <v>0</v>
      </c>
      <c r="V237" t="str">
        <f>IF($U237=1,SUM($U$2:U237),"")</f>
        <v/>
      </c>
      <c r="W237">
        <f t="shared" si="23"/>
        <v>0</v>
      </c>
      <c r="X237" t="str">
        <f>IF($W237=1,SUM($W$2:W237),"")</f>
        <v/>
      </c>
    </row>
    <row r="238" spans="1:24" x14ac:dyDescent="0.3">
      <c r="A238">
        <f>IF(OR($BA1="Any",$BA1=""),1,IF('All Data'!$B238=$BA1,1,0))</f>
        <v>0</v>
      </c>
      <c r="B238">
        <f>IF(OR($BA2="Any",$BA2=""),1,IF('All Data'!$C238=$BA2,1,0))</f>
        <v>1</v>
      </c>
      <c r="C238">
        <f>IF(OR($BA3="Any",$BA3=""),1,IF('All Data'!$D238=$BA3,1,0))</f>
        <v>1</v>
      </c>
      <c r="D238">
        <f>IF(OR($BA4="Any",$BA4=""),1,IF('All Data'!$E238=$BA4,1,0))</f>
        <v>1</v>
      </c>
      <c r="E238">
        <f>IF(OR($BA5="Any",$BA5=""),1,IF('All Data'!$F238=$BA5,1,0))</f>
        <v>1</v>
      </c>
      <c r="F238">
        <f>IF(OR($BA6="Any",$BA6=""),1,IF('All Data'!$G238=$BA6,1,0))</f>
        <v>1</v>
      </c>
      <c r="G238">
        <f>IF(AND(OR($BA$8="",ISNUMBER(SEARCH($BA$8,'All Data'!$K238&amp;" "&amp;'All Data'!$M238))),OR($BA$9="",ISNUMBER(SEARCH($BA$9,'All Data'!$K238&amp;" "&amp;'All Data'!$M238))),OR($BA$10="",ISNUMBER(SEARCH($BA$10,'All Data'!$K238&amp;" "&amp;'All Data'!$M238))),OR($BA$11="",ISNUMBER(SEARCH($BA$11,'All Data'!$K238&amp;" "&amp;'All Data'!$M238))),OR($BA$12="",ISNUMBER(SEARCH($BA$12,'All Data'!$K238&amp;" "&amp;'All Data'!$M238))),OR($BA$13="",ISNUMBER(SEARCH($BA$13,'All Data'!$K238&amp;" "&amp;'All Data'!$M238))),OR($BA$14="",ISNUMBER(SEARCH($BA$14,'All Data'!$K238&amp;" "&amp;'All Data'!$M238))),OR($BA$15="",ISNUMBER(SEARCH($BA$15,'All Data'!$K238&amp;" "&amp;'All Data'!$M238)))),1,0)</f>
        <v>1</v>
      </c>
      <c r="H238">
        <f t="shared" si="18"/>
        <v>0</v>
      </c>
      <c r="I238">
        <f>IF(AND($H238=1,'All Data'!$C238&lt;&gt;"",COUNTIFS($H$2:H237,1,'All Data'!$C$2:$C237,'All Data'!$C238)=0),1,0)</f>
        <v>0</v>
      </c>
      <c r="J238" t="str">
        <f>IF($I238=1,SUM($I$2:I238),"")</f>
        <v/>
      </c>
      <c r="K238">
        <f t="shared" si="19"/>
        <v>0</v>
      </c>
      <c r="L238">
        <f>IF(AND($K238=1,'All Data'!$D238&lt;&gt;"",COUNTIFS($K$2:K237,1,'All Data'!$D$2:$D237,'All Data'!$D238)=0),1,0)</f>
        <v>0</v>
      </c>
      <c r="M238" t="str">
        <f>IF($L238=1,SUM($L$2:L238),"")</f>
        <v/>
      </c>
      <c r="N238">
        <f t="shared" si="20"/>
        <v>0</v>
      </c>
      <c r="O238">
        <f>IF(AND($N238=1,'All Data'!$E238&lt;&gt;"",COUNTIFS($N$2:N237,1,'All Data'!$E$2:$E237,'All Data'!$E238)=0),1,0)</f>
        <v>0</v>
      </c>
      <c r="P238" t="str">
        <f>IF($O238=1,SUM($O$2:O238),"")</f>
        <v/>
      </c>
      <c r="Q238">
        <f t="shared" si="21"/>
        <v>0</v>
      </c>
      <c r="R238">
        <f>IF(AND($Q238=1,'All Data'!$F238&lt;&gt;"",COUNTIFS($Q$2:Q237,1,'All Data'!$F$2:$F237,'All Data'!$F238)=0),1,0)</f>
        <v>0</v>
      </c>
      <c r="S238" t="str">
        <f>IF($R238=1,SUM($R$2:R238),"")</f>
        <v/>
      </c>
      <c r="T238">
        <f t="shared" si="22"/>
        <v>0</v>
      </c>
      <c r="U238">
        <f>IF(AND($T238=1,'All Data'!$G238&lt;&gt;"",COUNTIFS($T$2:T237,1,'All Data'!$G$2:$G237,'All Data'!$G238)=0),1,0)</f>
        <v>0</v>
      </c>
      <c r="V238" t="str">
        <f>IF($U238=1,SUM($U$2:U238),"")</f>
        <v/>
      </c>
      <c r="W238">
        <f t="shared" si="23"/>
        <v>0</v>
      </c>
      <c r="X238" t="str">
        <f>IF($W238=1,SUM($W$2:W238),"")</f>
        <v/>
      </c>
    </row>
    <row r="239" spans="1:24" x14ac:dyDescent="0.3">
      <c r="A239">
        <f>IF(OR($BA1="Any",$BA1=""),1,IF('All Data'!$B239=$BA1,1,0))</f>
        <v>0</v>
      </c>
      <c r="B239">
        <f>IF(OR($BA2="Any",$BA2=""),1,IF('All Data'!$C239=$BA2,1,0))</f>
        <v>1</v>
      </c>
      <c r="C239">
        <f>IF(OR($BA3="Any",$BA3=""),1,IF('All Data'!$D239=$BA3,1,0))</f>
        <v>1</v>
      </c>
      <c r="D239">
        <f>IF(OR($BA4="Any",$BA4=""),1,IF('All Data'!$E239=$BA4,1,0))</f>
        <v>1</v>
      </c>
      <c r="E239">
        <f>IF(OR($BA5="Any",$BA5=""),1,IF('All Data'!$F239=$BA5,1,0))</f>
        <v>1</v>
      </c>
      <c r="F239">
        <f>IF(OR($BA6="Any",$BA6=""),1,IF('All Data'!$G239=$BA6,1,0))</f>
        <v>0</v>
      </c>
      <c r="G239">
        <f>IF(AND(OR($BA$8="",ISNUMBER(SEARCH($BA$8,'All Data'!$K239&amp;" "&amp;'All Data'!$M239))),OR($BA$9="",ISNUMBER(SEARCH($BA$9,'All Data'!$K239&amp;" "&amp;'All Data'!$M239))),OR($BA$10="",ISNUMBER(SEARCH($BA$10,'All Data'!$K239&amp;" "&amp;'All Data'!$M239))),OR($BA$11="",ISNUMBER(SEARCH($BA$11,'All Data'!$K239&amp;" "&amp;'All Data'!$M239))),OR($BA$12="",ISNUMBER(SEARCH($BA$12,'All Data'!$K239&amp;" "&amp;'All Data'!$M239))),OR($BA$13="",ISNUMBER(SEARCH($BA$13,'All Data'!$K239&amp;" "&amp;'All Data'!$M239))),OR($BA$14="",ISNUMBER(SEARCH($BA$14,'All Data'!$K239&amp;" "&amp;'All Data'!$M239))),OR($BA$15="",ISNUMBER(SEARCH($BA$15,'All Data'!$K239&amp;" "&amp;'All Data'!$M239)))),1,0)</f>
        <v>1</v>
      </c>
      <c r="H239">
        <f t="shared" si="18"/>
        <v>0</v>
      </c>
      <c r="I239">
        <f>IF(AND($H239=1,'All Data'!$C239&lt;&gt;"",COUNTIFS($H$2:H238,1,'All Data'!$C$2:$C238,'All Data'!$C239)=0),1,0)</f>
        <v>0</v>
      </c>
      <c r="J239" t="str">
        <f>IF($I239=1,SUM($I$2:I239),"")</f>
        <v/>
      </c>
      <c r="K239">
        <f t="shared" si="19"/>
        <v>0</v>
      </c>
      <c r="L239">
        <f>IF(AND($K239=1,'All Data'!$D239&lt;&gt;"",COUNTIFS($K$2:K238,1,'All Data'!$D$2:$D238,'All Data'!$D239)=0),1,0)</f>
        <v>0</v>
      </c>
      <c r="M239" t="str">
        <f>IF($L239=1,SUM($L$2:L239),"")</f>
        <v/>
      </c>
      <c r="N239">
        <f t="shared" si="20"/>
        <v>0</v>
      </c>
      <c r="O239">
        <f>IF(AND($N239=1,'All Data'!$E239&lt;&gt;"",COUNTIFS($N$2:N238,1,'All Data'!$E$2:$E238,'All Data'!$E239)=0),1,0)</f>
        <v>0</v>
      </c>
      <c r="P239" t="str">
        <f>IF($O239=1,SUM($O$2:O239),"")</f>
        <v/>
      </c>
      <c r="Q239">
        <f t="shared" si="21"/>
        <v>0</v>
      </c>
      <c r="R239">
        <f>IF(AND($Q239=1,'All Data'!$F239&lt;&gt;"",COUNTIFS($Q$2:Q238,1,'All Data'!$F$2:$F238,'All Data'!$F239)=0),1,0)</f>
        <v>0</v>
      </c>
      <c r="S239" t="str">
        <f>IF($R239=1,SUM($R$2:R239),"")</f>
        <v/>
      </c>
      <c r="T239">
        <f t="shared" si="22"/>
        <v>0</v>
      </c>
      <c r="U239">
        <f>IF(AND($T239=1,'All Data'!$G239&lt;&gt;"",COUNTIFS($T$2:T238,1,'All Data'!$G$2:$G238,'All Data'!$G239)=0),1,0)</f>
        <v>0</v>
      </c>
      <c r="V239" t="str">
        <f>IF($U239=1,SUM($U$2:U239),"")</f>
        <v/>
      </c>
      <c r="W239">
        <f t="shared" si="23"/>
        <v>0</v>
      </c>
      <c r="X239" t="str">
        <f>IF($W239=1,SUM($W$2:W239),"")</f>
        <v/>
      </c>
    </row>
    <row r="240" spans="1:24" x14ac:dyDescent="0.3">
      <c r="A240">
        <f>IF(OR($BA1="Any",$BA1=""),1,IF('All Data'!$B240=$BA1,1,0))</f>
        <v>0</v>
      </c>
      <c r="B240">
        <f>IF(OR($BA2="Any",$BA2=""),1,IF('All Data'!$C240=$BA2,1,0))</f>
        <v>1</v>
      </c>
      <c r="C240">
        <f>IF(OR($BA3="Any",$BA3=""),1,IF('All Data'!$D240=$BA3,1,0))</f>
        <v>1</v>
      </c>
      <c r="D240">
        <f>IF(OR($BA4="Any",$BA4=""),1,IF('All Data'!$E240=$BA4,1,0))</f>
        <v>1</v>
      </c>
      <c r="E240">
        <f>IF(OR($BA5="Any",$BA5=""),1,IF('All Data'!$F240=$BA5,1,0))</f>
        <v>1</v>
      </c>
      <c r="F240">
        <f>IF(OR($BA6="Any",$BA6=""),1,IF('All Data'!$G240=$BA6,1,0))</f>
        <v>0</v>
      </c>
      <c r="G240">
        <f>IF(AND(OR($BA$8="",ISNUMBER(SEARCH($BA$8,'All Data'!$K240&amp;" "&amp;'All Data'!$M240))),OR($BA$9="",ISNUMBER(SEARCH($BA$9,'All Data'!$K240&amp;" "&amp;'All Data'!$M240))),OR($BA$10="",ISNUMBER(SEARCH($BA$10,'All Data'!$K240&amp;" "&amp;'All Data'!$M240))),OR($BA$11="",ISNUMBER(SEARCH($BA$11,'All Data'!$K240&amp;" "&amp;'All Data'!$M240))),OR($BA$12="",ISNUMBER(SEARCH($BA$12,'All Data'!$K240&amp;" "&amp;'All Data'!$M240))),OR($BA$13="",ISNUMBER(SEARCH($BA$13,'All Data'!$K240&amp;" "&amp;'All Data'!$M240))),OR($BA$14="",ISNUMBER(SEARCH($BA$14,'All Data'!$K240&amp;" "&amp;'All Data'!$M240))),OR($BA$15="",ISNUMBER(SEARCH($BA$15,'All Data'!$K240&amp;" "&amp;'All Data'!$M240)))),1,0)</f>
        <v>1</v>
      </c>
      <c r="H240">
        <f t="shared" si="18"/>
        <v>0</v>
      </c>
      <c r="I240">
        <f>IF(AND($H240=1,'All Data'!$C240&lt;&gt;"",COUNTIFS($H$2:H239,1,'All Data'!$C$2:$C239,'All Data'!$C240)=0),1,0)</f>
        <v>0</v>
      </c>
      <c r="J240" t="str">
        <f>IF($I240=1,SUM($I$2:I240),"")</f>
        <v/>
      </c>
      <c r="K240">
        <f t="shared" si="19"/>
        <v>0</v>
      </c>
      <c r="L240">
        <f>IF(AND($K240=1,'All Data'!$D240&lt;&gt;"",COUNTIFS($K$2:K239,1,'All Data'!$D$2:$D239,'All Data'!$D240)=0),1,0)</f>
        <v>0</v>
      </c>
      <c r="M240" t="str">
        <f>IF($L240=1,SUM($L$2:L240),"")</f>
        <v/>
      </c>
      <c r="N240">
        <f t="shared" si="20"/>
        <v>0</v>
      </c>
      <c r="O240">
        <f>IF(AND($N240=1,'All Data'!$E240&lt;&gt;"",COUNTIFS($N$2:N239,1,'All Data'!$E$2:$E239,'All Data'!$E240)=0),1,0)</f>
        <v>0</v>
      </c>
      <c r="P240" t="str">
        <f>IF($O240=1,SUM($O$2:O240),"")</f>
        <v/>
      </c>
      <c r="Q240">
        <f t="shared" si="21"/>
        <v>0</v>
      </c>
      <c r="R240">
        <f>IF(AND($Q240=1,'All Data'!$F240&lt;&gt;"",COUNTIFS($Q$2:Q239,1,'All Data'!$F$2:$F239,'All Data'!$F240)=0),1,0)</f>
        <v>0</v>
      </c>
      <c r="S240" t="str">
        <f>IF($R240=1,SUM($R$2:R240),"")</f>
        <v/>
      </c>
      <c r="T240">
        <f t="shared" si="22"/>
        <v>0</v>
      </c>
      <c r="U240">
        <f>IF(AND($T240=1,'All Data'!$G240&lt;&gt;"",COUNTIFS($T$2:T239,1,'All Data'!$G$2:$G239,'All Data'!$G240)=0),1,0)</f>
        <v>0</v>
      </c>
      <c r="V240" t="str">
        <f>IF($U240=1,SUM($U$2:U240),"")</f>
        <v/>
      </c>
      <c r="W240">
        <f t="shared" si="23"/>
        <v>0</v>
      </c>
      <c r="X240" t="str">
        <f>IF($W240=1,SUM($W$2:W240),"")</f>
        <v/>
      </c>
    </row>
    <row r="241" spans="1:24" x14ac:dyDescent="0.3">
      <c r="A241">
        <f>IF(OR($BA1="Any",$BA1=""),1,IF('All Data'!$B241=$BA1,1,0))</f>
        <v>0</v>
      </c>
      <c r="B241">
        <f>IF(OR($BA2="Any",$BA2=""),1,IF('All Data'!$C241=$BA2,1,0))</f>
        <v>1</v>
      </c>
      <c r="C241">
        <f>IF(OR($BA3="Any",$BA3=""),1,IF('All Data'!$D241=$BA3,1,0))</f>
        <v>1</v>
      </c>
      <c r="D241">
        <f>IF(OR($BA4="Any",$BA4=""),1,IF('All Data'!$E241=$BA4,1,0))</f>
        <v>1</v>
      </c>
      <c r="E241">
        <f>IF(OR($BA5="Any",$BA5=""),1,IF('All Data'!$F241=$BA5,1,0))</f>
        <v>1</v>
      </c>
      <c r="F241">
        <f>IF(OR($BA6="Any",$BA6=""),1,IF('All Data'!$G241=$BA6,1,0))</f>
        <v>1</v>
      </c>
      <c r="G241">
        <f>IF(AND(OR($BA$8="",ISNUMBER(SEARCH($BA$8,'All Data'!$K241&amp;" "&amp;'All Data'!$M241))),OR($BA$9="",ISNUMBER(SEARCH($BA$9,'All Data'!$K241&amp;" "&amp;'All Data'!$M241))),OR($BA$10="",ISNUMBER(SEARCH($BA$10,'All Data'!$K241&amp;" "&amp;'All Data'!$M241))),OR($BA$11="",ISNUMBER(SEARCH($BA$11,'All Data'!$K241&amp;" "&amp;'All Data'!$M241))),OR($BA$12="",ISNUMBER(SEARCH($BA$12,'All Data'!$K241&amp;" "&amp;'All Data'!$M241))),OR($BA$13="",ISNUMBER(SEARCH($BA$13,'All Data'!$K241&amp;" "&amp;'All Data'!$M241))),OR($BA$14="",ISNUMBER(SEARCH($BA$14,'All Data'!$K241&amp;" "&amp;'All Data'!$M241))),OR($BA$15="",ISNUMBER(SEARCH($BA$15,'All Data'!$K241&amp;" "&amp;'All Data'!$M241)))),1,0)</f>
        <v>1</v>
      </c>
      <c r="H241">
        <f t="shared" si="18"/>
        <v>0</v>
      </c>
      <c r="I241">
        <f>IF(AND($H241=1,'All Data'!$C241&lt;&gt;"",COUNTIFS($H$2:H240,1,'All Data'!$C$2:$C240,'All Data'!$C241)=0),1,0)</f>
        <v>0</v>
      </c>
      <c r="J241" t="str">
        <f>IF($I241=1,SUM($I$2:I241),"")</f>
        <v/>
      </c>
      <c r="K241">
        <f t="shared" si="19"/>
        <v>0</v>
      </c>
      <c r="L241">
        <f>IF(AND($K241=1,'All Data'!$D241&lt;&gt;"",COUNTIFS($K$2:K240,1,'All Data'!$D$2:$D240,'All Data'!$D241)=0),1,0)</f>
        <v>0</v>
      </c>
      <c r="M241" t="str">
        <f>IF($L241=1,SUM($L$2:L241),"")</f>
        <v/>
      </c>
      <c r="N241">
        <f t="shared" si="20"/>
        <v>0</v>
      </c>
      <c r="O241">
        <f>IF(AND($N241=1,'All Data'!$E241&lt;&gt;"",COUNTIFS($N$2:N240,1,'All Data'!$E$2:$E240,'All Data'!$E241)=0),1,0)</f>
        <v>0</v>
      </c>
      <c r="P241" t="str">
        <f>IF($O241=1,SUM($O$2:O241),"")</f>
        <v/>
      </c>
      <c r="Q241">
        <f t="shared" si="21"/>
        <v>0</v>
      </c>
      <c r="R241">
        <f>IF(AND($Q241=1,'All Data'!$F241&lt;&gt;"",COUNTIFS($Q$2:Q240,1,'All Data'!$F$2:$F240,'All Data'!$F241)=0),1,0)</f>
        <v>0</v>
      </c>
      <c r="S241" t="str">
        <f>IF($R241=1,SUM($R$2:R241),"")</f>
        <v/>
      </c>
      <c r="T241">
        <f t="shared" si="22"/>
        <v>0</v>
      </c>
      <c r="U241">
        <f>IF(AND($T241=1,'All Data'!$G241&lt;&gt;"",COUNTIFS($T$2:T240,1,'All Data'!$G$2:$G240,'All Data'!$G241)=0),1,0)</f>
        <v>0</v>
      </c>
      <c r="V241" t="str">
        <f>IF($U241=1,SUM($U$2:U241),"")</f>
        <v/>
      </c>
      <c r="W241">
        <f t="shared" si="23"/>
        <v>0</v>
      </c>
      <c r="X241" t="str">
        <f>IF($W241=1,SUM($W$2:W241),"")</f>
        <v/>
      </c>
    </row>
    <row r="242" spans="1:24" x14ac:dyDescent="0.3">
      <c r="A242">
        <f>IF(OR($BA1="Any",$BA1=""),1,IF('All Data'!$B242=$BA1,1,0))</f>
        <v>0</v>
      </c>
      <c r="B242">
        <f>IF(OR($BA2="Any",$BA2=""),1,IF('All Data'!$C242=$BA2,1,0))</f>
        <v>1</v>
      </c>
      <c r="C242">
        <f>IF(OR($BA3="Any",$BA3=""),1,IF('All Data'!$D242=$BA3,1,0))</f>
        <v>1</v>
      </c>
      <c r="D242">
        <f>IF(OR($BA4="Any",$BA4=""),1,IF('All Data'!$E242=$BA4,1,0))</f>
        <v>1</v>
      </c>
      <c r="E242">
        <f>IF(OR($BA5="Any",$BA5=""),1,IF('All Data'!$F242=$BA5,1,0))</f>
        <v>1</v>
      </c>
      <c r="F242">
        <f>IF(OR($BA6="Any",$BA6=""),1,IF('All Data'!$G242=$BA6,1,0))</f>
        <v>0</v>
      </c>
      <c r="G242">
        <f>IF(AND(OR($BA$8="",ISNUMBER(SEARCH($BA$8,'All Data'!$K242&amp;" "&amp;'All Data'!$M242))),OR($BA$9="",ISNUMBER(SEARCH($BA$9,'All Data'!$K242&amp;" "&amp;'All Data'!$M242))),OR($BA$10="",ISNUMBER(SEARCH($BA$10,'All Data'!$K242&amp;" "&amp;'All Data'!$M242))),OR($BA$11="",ISNUMBER(SEARCH($BA$11,'All Data'!$K242&amp;" "&amp;'All Data'!$M242))),OR($BA$12="",ISNUMBER(SEARCH($BA$12,'All Data'!$K242&amp;" "&amp;'All Data'!$M242))),OR($BA$13="",ISNUMBER(SEARCH($BA$13,'All Data'!$K242&amp;" "&amp;'All Data'!$M242))),OR($BA$14="",ISNUMBER(SEARCH($BA$14,'All Data'!$K242&amp;" "&amp;'All Data'!$M242))),OR($BA$15="",ISNUMBER(SEARCH($BA$15,'All Data'!$K242&amp;" "&amp;'All Data'!$M242)))),1,0)</f>
        <v>1</v>
      </c>
      <c r="H242">
        <f t="shared" si="18"/>
        <v>0</v>
      </c>
      <c r="I242">
        <f>IF(AND($H242=1,'All Data'!$C242&lt;&gt;"",COUNTIFS($H$2:H241,1,'All Data'!$C$2:$C241,'All Data'!$C242)=0),1,0)</f>
        <v>0</v>
      </c>
      <c r="J242" t="str">
        <f>IF($I242=1,SUM($I$2:I242),"")</f>
        <v/>
      </c>
      <c r="K242">
        <f t="shared" si="19"/>
        <v>0</v>
      </c>
      <c r="L242">
        <f>IF(AND($K242=1,'All Data'!$D242&lt;&gt;"",COUNTIFS($K$2:K241,1,'All Data'!$D$2:$D241,'All Data'!$D242)=0),1,0)</f>
        <v>0</v>
      </c>
      <c r="M242" t="str">
        <f>IF($L242=1,SUM($L$2:L242),"")</f>
        <v/>
      </c>
      <c r="N242">
        <f t="shared" si="20"/>
        <v>0</v>
      </c>
      <c r="O242">
        <f>IF(AND($N242=1,'All Data'!$E242&lt;&gt;"",COUNTIFS($N$2:N241,1,'All Data'!$E$2:$E241,'All Data'!$E242)=0),1,0)</f>
        <v>0</v>
      </c>
      <c r="P242" t="str">
        <f>IF($O242=1,SUM($O$2:O242),"")</f>
        <v/>
      </c>
      <c r="Q242">
        <f t="shared" si="21"/>
        <v>0</v>
      </c>
      <c r="R242">
        <f>IF(AND($Q242=1,'All Data'!$F242&lt;&gt;"",COUNTIFS($Q$2:Q241,1,'All Data'!$F$2:$F241,'All Data'!$F242)=0),1,0)</f>
        <v>0</v>
      </c>
      <c r="S242" t="str">
        <f>IF($R242=1,SUM($R$2:R242),"")</f>
        <v/>
      </c>
      <c r="T242">
        <f t="shared" si="22"/>
        <v>0</v>
      </c>
      <c r="U242">
        <f>IF(AND($T242=1,'All Data'!$G242&lt;&gt;"",COUNTIFS($T$2:T241,1,'All Data'!$G$2:$G241,'All Data'!$G242)=0),1,0)</f>
        <v>0</v>
      </c>
      <c r="V242" t="str">
        <f>IF($U242=1,SUM($U$2:U242),"")</f>
        <v/>
      </c>
      <c r="W242">
        <f t="shared" si="23"/>
        <v>0</v>
      </c>
      <c r="X242" t="str">
        <f>IF($W242=1,SUM($W$2:W242),"")</f>
        <v/>
      </c>
    </row>
    <row r="243" spans="1:24" x14ac:dyDescent="0.3">
      <c r="A243">
        <f>IF(OR($BA1="Any",$BA1=""),1,IF('All Data'!$B243=$BA1,1,0))</f>
        <v>0</v>
      </c>
      <c r="B243">
        <f>IF(OR($BA2="Any",$BA2=""),1,IF('All Data'!$C243=$BA2,1,0))</f>
        <v>1</v>
      </c>
      <c r="C243">
        <f>IF(OR($BA3="Any",$BA3=""),1,IF('All Data'!$D243=$BA3,1,0))</f>
        <v>1</v>
      </c>
      <c r="D243">
        <f>IF(OR($BA4="Any",$BA4=""),1,IF('All Data'!$E243=$BA4,1,0))</f>
        <v>1</v>
      </c>
      <c r="E243">
        <f>IF(OR($BA5="Any",$BA5=""),1,IF('All Data'!$F243=$BA5,1,0))</f>
        <v>1</v>
      </c>
      <c r="F243">
        <f>IF(OR($BA6="Any",$BA6=""),1,IF('All Data'!$G243=$BA6,1,0))</f>
        <v>0</v>
      </c>
      <c r="G243">
        <f>IF(AND(OR($BA$8="",ISNUMBER(SEARCH($BA$8,'All Data'!$K243&amp;" "&amp;'All Data'!$M243))),OR($BA$9="",ISNUMBER(SEARCH($BA$9,'All Data'!$K243&amp;" "&amp;'All Data'!$M243))),OR($BA$10="",ISNUMBER(SEARCH($BA$10,'All Data'!$K243&amp;" "&amp;'All Data'!$M243))),OR($BA$11="",ISNUMBER(SEARCH($BA$11,'All Data'!$K243&amp;" "&amp;'All Data'!$M243))),OR($BA$12="",ISNUMBER(SEARCH($BA$12,'All Data'!$K243&amp;" "&amp;'All Data'!$M243))),OR($BA$13="",ISNUMBER(SEARCH($BA$13,'All Data'!$K243&amp;" "&amp;'All Data'!$M243))),OR($BA$14="",ISNUMBER(SEARCH($BA$14,'All Data'!$K243&amp;" "&amp;'All Data'!$M243))),OR($BA$15="",ISNUMBER(SEARCH($BA$15,'All Data'!$K243&amp;" "&amp;'All Data'!$M243)))),1,0)</f>
        <v>1</v>
      </c>
      <c r="H243">
        <f t="shared" si="18"/>
        <v>0</v>
      </c>
      <c r="I243">
        <f>IF(AND($H243=1,'All Data'!$C243&lt;&gt;"",COUNTIFS($H$2:H242,1,'All Data'!$C$2:$C242,'All Data'!$C243)=0),1,0)</f>
        <v>0</v>
      </c>
      <c r="J243" t="str">
        <f>IF($I243=1,SUM($I$2:I243),"")</f>
        <v/>
      </c>
      <c r="K243">
        <f t="shared" si="19"/>
        <v>0</v>
      </c>
      <c r="L243">
        <f>IF(AND($K243=1,'All Data'!$D243&lt;&gt;"",COUNTIFS($K$2:K242,1,'All Data'!$D$2:$D242,'All Data'!$D243)=0),1,0)</f>
        <v>0</v>
      </c>
      <c r="M243" t="str">
        <f>IF($L243=1,SUM($L$2:L243),"")</f>
        <v/>
      </c>
      <c r="N243">
        <f t="shared" si="20"/>
        <v>0</v>
      </c>
      <c r="O243">
        <f>IF(AND($N243=1,'All Data'!$E243&lt;&gt;"",COUNTIFS($N$2:N242,1,'All Data'!$E$2:$E242,'All Data'!$E243)=0),1,0)</f>
        <v>0</v>
      </c>
      <c r="P243" t="str">
        <f>IF($O243=1,SUM($O$2:O243),"")</f>
        <v/>
      </c>
      <c r="Q243">
        <f t="shared" si="21"/>
        <v>0</v>
      </c>
      <c r="R243">
        <f>IF(AND($Q243=1,'All Data'!$F243&lt;&gt;"",COUNTIFS($Q$2:Q242,1,'All Data'!$F$2:$F242,'All Data'!$F243)=0),1,0)</f>
        <v>0</v>
      </c>
      <c r="S243" t="str">
        <f>IF($R243=1,SUM($R$2:R243),"")</f>
        <v/>
      </c>
      <c r="T243">
        <f t="shared" si="22"/>
        <v>0</v>
      </c>
      <c r="U243">
        <f>IF(AND($T243=1,'All Data'!$G243&lt;&gt;"",COUNTIFS($T$2:T242,1,'All Data'!$G$2:$G242,'All Data'!$G243)=0),1,0)</f>
        <v>0</v>
      </c>
      <c r="V243" t="str">
        <f>IF($U243=1,SUM($U$2:U243),"")</f>
        <v/>
      </c>
      <c r="W243">
        <f t="shared" si="23"/>
        <v>0</v>
      </c>
      <c r="X243" t="str">
        <f>IF($W243=1,SUM($W$2:W243),"")</f>
        <v/>
      </c>
    </row>
    <row r="244" spans="1:24" x14ac:dyDescent="0.3">
      <c r="A244">
        <f>IF(OR($BA1="Any",$BA1=""),1,IF('All Data'!$B244=$BA1,1,0))</f>
        <v>0</v>
      </c>
      <c r="B244">
        <f>IF(OR($BA2="Any",$BA2=""),1,IF('All Data'!$C244=$BA2,1,0))</f>
        <v>1</v>
      </c>
      <c r="C244">
        <f>IF(OR($BA3="Any",$BA3=""),1,IF('All Data'!$D244=$BA3,1,0))</f>
        <v>1</v>
      </c>
      <c r="D244">
        <f>IF(OR($BA4="Any",$BA4=""),1,IF('All Data'!$E244=$BA4,1,0))</f>
        <v>1</v>
      </c>
      <c r="E244">
        <f>IF(OR($BA5="Any",$BA5=""),1,IF('All Data'!$F244=$BA5,1,0))</f>
        <v>1</v>
      </c>
      <c r="F244">
        <f>IF(OR($BA6="Any",$BA6=""),1,IF('All Data'!$G244=$BA6,1,0))</f>
        <v>0</v>
      </c>
      <c r="G244">
        <f>IF(AND(OR($BA$8="",ISNUMBER(SEARCH($BA$8,'All Data'!$K244&amp;" "&amp;'All Data'!$M244))),OR($BA$9="",ISNUMBER(SEARCH($BA$9,'All Data'!$K244&amp;" "&amp;'All Data'!$M244))),OR($BA$10="",ISNUMBER(SEARCH($BA$10,'All Data'!$K244&amp;" "&amp;'All Data'!$M244))),OR($BA$11="",ISNUMBER(SEARCH($BA$11,'All Data'!$K244&amp;" "&amp;'All Data'!$M244))),OR($BA$12="",ISNUMBER(SEARCH($BA$12,'All Data'!$K244&amp;" "&amp;'All Data'!$M244))),OR($BA$13="",ISNUMBER(SEARCH($BA$13,'All Data'!$K244&amp;" "&amp;'All Data'!$M244))),OR($BA$14="",ISNUMBER(SEARCH($BA$14,'All Data'!$K244&amp;" "&amp;'All Data'!$M244))),OR($BA$15="",ISNUMBER(SEARCH($BA$15,'All Data'!$K244&amp;" "&amp;'All Data'!$M244)))),1,0)</f>
        <v>1</v>
      </c>
      <c r="H244">
        <f t="shared" si="18"/>
        <v>0</v>
      </c>
      <c r="I244">
        <f>IF(AND($H244=1,'All Data'!$C244&lt;&gt;"",COUNTIFS($H$2:H243,1,'All Data'!$C$2:$C243,'All Data'!$C244)=0),1,0)</f>
        <v>0</v>
      </c>
      <c r="J244" t="str">
        <f>IF($I244=1,SUM($I$2:I244),"")</f>
        <v/>
      </c>
      <c r="K244">
        <f t="shared" si="19"/>
        <v>0</v>
      </c>
      <c r="L244">
        <f>IF(AND($K244=1,'All Data'!$D244&lt;&gt;"",COUNTIFS($K$2:K243,1,'All Data'!$D$2:$D243,'All Data'!$D244)=0),1,0)</f>
        <v>0</v>
      </c>
      <c r="M244" t="str">
        <f>IF($L244=1,SUM($L$2:L244),"")</f>
        <v/>
      </c>
      <c r="N244">
        <f t="shared" si="20"/>
        <v>0</v>
      </c>
      <c r="O244">
        <f>IF(AND($N244=1,'All Data'!$E244&lt;&gt;"",COUNTIFS($N$2:N243,1,'All Data'!$E$2:$E243,'All Data'!$E244)=0),1,0)</f>
        <v>0</v>
      </c>
      <c r="P244" t="str">
        <f>IF($O244=1,SUM($O$2:O244),"")</f>
        <v/>
      </c>
      <c r="Q244">
        <f t="shared" si="21"/>
        <v>0</v>
      </c>
      <c r="R244">
        <f>IF(AND($Q244=1,'All Data'!$F244&lt;&gt;"",COUNTIFS($Q$2:Q243,1,'All Data'!$F$2:$F243,'All Data'!$F244)=0),1,0)</f>
        <v>0</v>
      </c>
      <c r="S244" t="str">
        <f>IF($R244=1,SUM($R$2:R244),"")</f>
        <v/>
      </c>
      <c r="T244">
        <f t="shared" si="22"/>
        <v>0</v>
      </c>
      <c r="U244">
        <f>IF(AND($T244=1,'All Data'!$G244&lt;&gt;"",COUNTIFS($T$2:T243,1,'All Data'!$G$2:$G243,'All Data'!$G244)=0),1,0)</f>
        <v>0</v>
      </c>
      <c r="V244" t="str">
        <f>IF($U244=1,SUM($U$2:U244),"")</f>
        <v/>
      </c>
      <c r="W244">
        <f t="shared" si="23"/>
        <v>0</v>
      </c>
      <c r="X244" t="str">
        <f>IF($W244=1,SUM($W$2:W244),"")</f>
        <v/>
      </c>
    </row>
    <row r="245" spans="1:24" x14ac:dyDescent="0.3">
      <c r="A245">
        <f>IF(OR($BA1="Any",$BA1=""),1,IF('All Data'!$B245=$BA1,1,0))</f>
        <v>0</v>
      </c>
      <c r="B245">
        <f>IF(OR($BA2="Any",$BA2=""),1,IF('All Data'!$C245=$BA2,1,0))</f>
        <v>1</v>
      </c>
      <c r="C245">
        <f>IF(OR($BA3="Any",$BA3=""),1,IF('All Data'!$D245=$BA3,1,0))</f>
        <v>1</v>
      </c>
      <c r="D245">
        <f>IF(OR($BA4="Any",$BA4=""),1,IF('All Data'!$E245=$BA4,1,0))</f>
        <v>1</v>
      </c>
      <c r="E245">
        <f>IF(OR($BA5="Any",$BA5=""),1,IF('All Data'!$F245=$BA5,1,0))</f>
        <v>1</v>
      </c>
      <c r="F245">
        <f>IF(OR($BA6="Any",$BA6=""),1,IF('All Data'!$G245=$BA6,1,0))</f>
        <v>0</v>
      </c>
      <c r="G245">
        <f>IF(AND(OR($BA$8="",ISNUMBER(SEARCH($BA$8,'All Data'!$K245&amp;" "&amp;'All Data'!$M245))),OR($BA$9="",ISNUMBER(SEARCH($BA$9,'All Data'!$K245&amp;" "&amp;'All Data'!$M245))),OR($BA$10="",ISNUMBER(SEARCH($BA$10,'All Data'!$K245&amp;" "&amp;'All Data'!$M245))),OR($BA$11="",ISNUMBER(SEARCH($BA$11,'All Data'!$K245&amp;" "&amp;'All Data'!$M245))),OR($BA$12="",ISNUMBER(SEARCH($BA$12,'All Data'!$K245&amp;" "&amp;'All Data'!$M245))),OR($BA$13="",ISNUMBER(SEARCH($BA$13,'All Data'!$K245&amp;" "&amp;'All Data'!$M245))),OR($BA$14="",ISNUMBER(SEARCH($BA$14,'All Data'!$K245&amp;" "&amp;'All Data'!$M245))),OR($BA$15="",ISNUMBER(SEARCH($BA$15,'All Data'!$K245&amp;" "&amp;'All Data'!$M245)))),1,0)</f>
        <v>1</v>
      </c>
      <c r="H245">
        <f t="shared" si="18"/>
        <v>0</v>
      </c>
      <c r="I245">
        <f>IF(AND($H245=1,'All Data'!$C245&lt;&gt;"",COUNTIFS($H$2:H244,1,'All Data'!$C$2:$C244,'All Data'!$C245)=0),1,0)</f>
        <v>0</v>
      </c>
      <c r="J245" t="str">
        <f>IF($I245=1,SUM($I$2:I245),"")</f>
        <v/>
      </c>
      <c r="K245">
        <f t="shared" si="19"/>
        <v>0</v>
      </c>
      <c r="L245">
        <f>IF(AND($K245=1,'All Data'!$D245&lt;&gt;"",COUNTIFS($K$2:K244,1,'All Data'!$D$2:$D244,'All Data'!$D245)=0),1,0)</f>
        <v>0</v>
      </c>
      <c r="M245" t="str">
        <f>IF($L245=1,SUM($L$2:L245),"")</f>
        <v/>
      </c>
      <c r="N245">
        <f t="shared" si="20"/>
        <v>0</v>
      </c>
      <c r="O245">
        <f>IF(AND($N245=1,'All Data'!$E245&lt;&gt;"",COUNTIFS($N$2:N244,1,'All Data'!$E$2:$E244,'All Data'!$E245)=0),1,0)</f>
        <v>0</v>
      </c>
      <c r="P245" t="str">
        <f>IF($O245=1,SUM($O$2:O245),"")</f>
        <v/>
      </c>
      <c r="Q245">
        <f t="shared" si="21"/>
        <v>0</v>
      </c>
      <c r="R245">
        <f>IF(AND($Q245=1,'All Data'!$F245&lt;&gt;"",COUNTIFS($Q$2:Q244,1,'All Data'!$F$2:$F244,'All Data'!$F245)=0),1,0)</f>
        <v>0</v>
      </c>
      <c r="S245" t="str">
        <f>IF($R245=1,SUM($R$2:R245),"")</f>
        <v/>
      </c>
      <c r="T245">
        <f t="shared" si="22"/>
        <v>0</v>
      </c>
      <c r="U245">
        <f>IF(AND($T245=1,'All Data'!$G245&lt;&gt;"",COUNTIFS($T$2:T244,1,'All Data'!$G$2:$G244,'All Data'!$G245)=0),1,0)</f>
        <v>0</v>
      </c>
      <c r="V245" t="str">
        <f>IF($U245=1,SUM($U$2:U245),"")</f>
        <v/>
      </c>
      <c r="W245">
        <f t="shared" si="23"/>
        <v>0</v>
      </c>
      <c r="X245" t="str">
        <f>IF($W245=1,SUM($W$2:W245),"")</f>
        <v/>
      </c>
    </row>
    <row r="246" spans="1:24" x14ac:dyDescent="0.3">
      <c r="A246">
        <f>IF(OR($BA1="Any",$BA1=""),1,IF('All Data'!$B246=$BA1,1,0))</f>
        <v>0</v>
      </c>
      <c r="B246">
        <f>IF(OR($BA2="Any",$BA2=""),1,IF('All Data'!$C246=$BA2,1,0))</f>
        <v>1</v>
      </c>
      <c r="C246">
        <f>IF(OR($BA3="Any",$BA3=""),1,IF('All Data'!$D246=$BA3,1,0))</f>
        <v>1</v>
      </c>
      <c r="D246">
        <f>IF(OR($BA4="Any",$BA4=""),1,IF('All Data'!$E246=$BA4,1,0))</f>
        <v>1</v>
      </c>
      <c r="E246">
        <f>IF(OR($BA5="Any",$BA5=""),1,IF('All Data'!$F246=$BA5,1,0))</f>
        <v>1</v>
      </c>
      <c r="F246">
        <f>IF(OR($BA6="Any",$BA6=""),1,IF('All Data'!$G246=$BA6,1,0))</f>
        <v>0</v>
      </c>
      <c r="G246">
        <f>IF(AND(OR($BA$8="",ISNUMBER(SEARCH($BA$8,'All Data'!$K246&amp;" "&amp;'All Data'!$M246))),OR($BA$9="",ISNUMBER(SEARCH($BA$9,'All Data'!$K246&amp;" "&amp;'All Data'!$M246))),OR($BA$10="",ISNUMBER(SEARCH($BA$10,'All Data'!$K246&amp;" "&amp;'All Data'!$M246))),OR($BA$11="",ISNUMBER(SEARCH($BA$11,'All Data'!$K246&amp;" "&amp;'All Data'!$M246))),OR($BA$12="",ISNUMBER(SEARCH($BA$12,'All Data'!$K246&amp;" "&amp;'All Data'!$M246))),OR($BA$13="",ISNUMBER(SEARCH($BA$13,'All Data'!$K246&amp;" "&amp;'All Data'!$M246))),OR($BA$14="",ISNUMBER(SEARCH($BA$14,'All Data'!$K246&amp;" "&amp;'All Data'!$M246))),OR($BA$15="",ISNUMBER(SEARCH($BA$15,'All Data'!$K246&amp;" "&amp;'All Data'!$M246)))),1,0)</f>
        <v>1</v>
      </c>
      <c r="H246">
        <f t="shared" si="18"/>
        <v>0</v>
      </c>
      <c r="I246">
        <f>IF(AND($H246=1,'All Data'!$C246&lt;&gt;"",COUNTIFS($H$2:H245,1,'All Data'!$C$2:$C245,'All Data'!$C246)=0),1,0)</f>
        <v>0</v>
      </c>
      <c r="J246" t="str">
        <f>IF($I246=1,SUM($I$2:I246),"")</f>
        <v/>
      </c>
      <c r="K246">
        <f t="shared" si="19"/>
        <v>0</v>
      </c>
      <c r="L246">
        <f>IF(AND($K246=1,'All Data'!$D246&lt;&gt;"",COUNTIFS($K$2:K245,1,'All Data'!$D$2:$D245,'All Data'!$D246)=0),1,0)</f>
        <v>0</v>
      </c>
      <c r="M246" t="str">
        <f>IF($L246=1,SUM($L$2:L246),"")</f>
        <v/>
      </c>
      <c r="N246">
        <f t="shared" si="20"/>
        <v>0</v>
      </c>
      <c r="O246">
        <f>IF(AND($N246=1,'All Data'!$E246&lt;&gt;"",COUNTIFS($N$2:N245,1,'All Data'!$E$2:$E245,'All Data'!$E246)=0),1,0)</f>
        <v>0</v>
      </c>
      <c r="P246" t="str">
        <f>IF($O246=1,SUM($O$2:O246),"")</f>
        <v/>
      </c>
      <c r="Q246">
        <f t="shared" si="21"/>
        <v>0</v>
      </c>
      <c r="R246">
        <f>IF(AND($Q246=1,'All Data'!$F246&lt;&gt;"",COUNTIFS($Q$2:Q245,1,'All Data'!$F$2:$F245,'All Data'!$F246)=0),1,0)</f>
        <v>0</v>
      </c>
      <c r="S246" t="str">
        <f>IF($R246=1,SUM($R$2:R246),"")</f>
        <v/>
      </c>
      <c r="T246">
        <f t="shared" si="22"/>
        <v>0</v>
      </c>
      <c r="U246">
        <f>IF(AND($T246=1,'All Data'!$G246&lt;&gt;"",COUNTIFS($T$2:T245,1,'All Data'!$G$2:$G245,'All Data'!$G246)=0),1,0)</f>
        <v>0</v>
      </c>
      <c r="V246" t="str">
        <f>IF($U246=1,SUM($U$2:U246),"")</f>
        <v/>
      </c>
      <c r="W246">
        <f t="shared" si="23"/>
        <v>0</v>
      </c>
      <c r="X246" t="str">
        <f>IF($W246=1,SUM($W$2:W246),"")</f>
        <v/>
      </c>
    </row>
    <row r="247" spans="1:24" x14ac:dyDescent="0.3">
      <c r="A247">
        <f>IF(OR($BA1="Any",$BA1=""),1,IF('All Data'!$B247=$BA1,1,0))</f>
        <v>0</v>
      </c>
      <c r="B247">
        <f>IF(OR($BA2="Any",$BA2=""),1,IF('All Data'!$C247=$BA2,1,0))</f>
        <v>1</v>
      </c>
      <c r="C247">
        <f>IF(OR($BA3="Any",$BA3=""),1,IF('All Data'!$D247=$BA3,1,0))</f>
        <v>1</v>
      </c>
      <c r="D247">
        <f>IF(OR($BA4="Any",$BA4=""),1,IF('All Data'!$E247=$BA4,1,0))</f>
        <v>1</v>
      </c>
      <c r="E247">
        <f>IF(OR($BA5="Any",$BA5=""),1,IF('All Data'!$F247=$BA5,1,0))</f>
        <v>1</v>
      </c>
      <c r="F247">
        <f>IF(OR($BA6="Any",$BA6=""),1,IF('All Data'!$G247=$BA6,1,0))</f>
        <v>0</v>
      </c>
      <c r="G247">
        <f>IF(AND(OR($BA$8="",ISNUMBER(SEARCH($BA$8,'All Data'!$K247&amp;" "&amp;'All Data'!$M247))),OR($BA$9="",ISNUMBER(SEARCH($BA$9,'All Data'!$K247&amp;" "&amp;'All Data'!$M247))),OR($BA$10="",ISNUMBER(SEARCH($BA$10,'All Data'!$K247&amp;" "&amp;'All Data'!$M247))),OR($BA$11="",ISNUMBER(SEARCH($BA$11,'All Data'!$K247&amp;" "&amp;'All Data'!$M247))),OR($BA$12="",ISNUMBER(SEARCH($BA$12,'All Data'!$K247&amp;" "&amp;'All Data'!$M247))),OR($BA$13="",ISNUMBER(SEARCH($BA$13,'All Data'!$K247&amp;" "&amp;'All Data'!$M247))),OR($BA$14="",ISNUMBER(SEARCH($BA$14,'All Data'!$K247&amp;" "&amp;'All Data'!$M247))),OR($BA$15="",ISNUMBER(SEARCH($BA$15,'All Data'!$K247&amp;" "&amp;'All Data'!$M247)))),1,0)</f>
        <v>1</v>
      </c>
      <c r="H247">
        <f t="shared" si="18"/>
        <v>0</v>
      </c>
      <c r="I247">
        <f>IF(AND($H247=1,'All Data'!$C247&lt;&gt;"",COUNTIFS($H$2:H246,1,'All Data'!$C$2:$C246,'All Data'!$C247)=0),1,0)</f>
        <v>0</v>
      </c>
      <c r="J247" t="str">
        <f>IF($I247=1,SUM($I$2:I247),"")</f>
        <v/>
      </c>
      <c r="K247">
        <f t="shared" si="19"/>
        <v>0</v>
      </c>
      <c r="L247">
        <f>IF(AND($K247=1,'All Data'!$D247&lt;&gt;"",COUNTIFS($K$2:K246,1,'All Data'!$D$2:$D246,'All Data'!$D247)=0),1,0)</f>
        <v>0</v>
      </c>
      <c r="M247" t="str">
        <f>IF($L247=1,SUM($L$2:L247),"")</f>
        <v/>
      </c>
      <c r="N247">
        <f t="shared" si="20"/>
        <v>0</v>
      </c>
      <c r="O247">
        <f>IF(AND($N247=1,'All Data'!$E247&lt;&gt;"",COUNTIFS($N$2:N246,1,'All Data'!$E$2:$E246,'All Data'!$E247)=0),1,0)</f>
        <v>0</v>
      </c>
      <c r="P247" t="str">
        <f>IF($O247=1,SUM($O$2:O247),"")</f>
        <v/>
      </c>
      <c r="Q247">
        <f t="shared" si="21"/>
        <v>0</v>
      </c>
      <c r="R247">
        <f>IF(AND($Q247=1,'All Data'!$F247&lt;&gt;"",COUNTIFS($Q$2:Q246,1,'All Data'!$F$2:$F246,'All Data'!$F247)=0),1,0)</f>
        <v>0</v>
      </c>
      <c r="S247" t="str">
        <f>IF($R247=1,SUM($R$2:R247),"")</f>
        <v/>
      </c>
      <c r="T247">
        <f t="shared" si="22"/>
        <v>0</v>
      </c>
      <c r="U247">
        <f>IF(AND($T247=1,'All Data'!$G247&lt;&gt;"",COUNTIFS($T$2:T246,1,'All Data'!$G$2:$G246,'All Data'!$G247)=0),1,0)</f>
        <v>0</v>
      </c>
      <c r="V247" t="str">
        <f>IF($U247=1,SUM($U$2:U247),"")</f>
        <v/>
      </c>
      <c r="W247">
        <f t="shared" si="23"/>
        <v>0</v>
      </c>
      <c r="X247" t="str">
        <f>IF($W247=1,SUM($W$2:W247),"")</f>
        <v/>
      </c>
    </row>
    <row r="248" spans="1:24" x14ac:dyDescent="0.3">
      <c r="A248">
        <f>IF(OR($BA1="Any",$BA1=""),1,IF('All Data'!$B248=$BA1,1,0))</f>
        <v>0</v>
      </c>
      <c r="B248">
        <f>IF(OR($BA2="Any",$BA2=""),1,IF('All Data'!$C248=$BA2,1,0))</f>
        <v>1</v>
      </c>
      <c r="C248">
        <f>IF(OR($BA3="Any",$BA3=""),1,IF('All Data'!$D248=$BA3,1,0))</f>
        <v>1</v>
      </c>
      <c r="D248">
        <f>IF(OR($BA4="Any",$BA4=""),1,IF('All Data'!$E248=$BA4,1,0))</f>
        <v>1</v>
      </c>
      <c r="E248">
        <f>IF(OR($BA5="Any",$BA5=""),1,IF('All Data'!$F248=$BA5,1,0))</f>
        <v>1</v>
      </c>
      <c r="F248">
        <f>IF(OR($BA6="Any",$BA6=""),1,IF('All Data'!$G248=$BA6,1,0))</f>
        <v>0</v>
      </c>
      <c r="G248">
        <f>IF(AND(OR($BA$8="",ISNUMBER(SEARCH($BA$8,'All Data'!$K248&amp;" "&amp;'All Data'!$M248))),OR($BA$9="",ISNUMBER(SEARCH($BA$9,'All Data'!$K248&amp;" "&amp;'All Data'!$M248))),OR($BA$10="",ISNUMBER(SEARCH($BA$10,'All Data'!$K248&amp;" "&amp;'All Data'!$M248))),OR($BA$11="",ISNUMBER(SEARCH($BA$11,'All Data'!$K248&amp;" "&amp;'All Data'!$M248))),OR($BA$12="",ISNUMBER(SEARCH($BA$12,'All Data'!$K248&amp;" "&amp;'All Data'!$M248))),OR($BA$13="",ISNUMBER(SEARCH($BA$13,'All Data'!$K248&amp;" "&amp;'All Data'!$M248))),OR($BA$14="",ISNUMBER(SEARCH($BA$14,'All Data'!$K248&amp;" "&amp;'All Data'!$M248))),OR($BA$15="",ISNUMBER(SEARCH($BA$15,'All Data'!$K248&amp;" "&amp;'All Data'!$M248)))),1,0)</f>
        <v>1</v>
      </c>
      <c r="H248">
        <f t="shared" si="18"/>
        <v>0</v>
      </c>
      <c r="I248">
        <f>IF(AND($H248=1,'All Data'!$C248&lt;&gt;"",COUNTIFS($H$2:H247,1,'All Data'!$C$2:$C247,'All Data'!$C248)=0),1,0)</f>
        <v>0</v>
      </c>
      <c r="J248" t="str">
        <f>IF($I248=1,SUM($I$2:I248),"")</f>
        <v/>
      </c>
      <c r="K248">
        <f t="shared" si="19"/>
        <v>0</v>
      </c>
      <c r="L248">
        <f>IF(AND($K248=1,'All Data'!$D248&lt;&gt;"",COUNTIFS($K$2:K247,1,'All Data'!$D$2:$D247,'All Data'!$D248)=0),1,0)</f>
        <v>0</v>
      </c>
      <c r="M248" t="str">
        <f>IF($L248=1,SUM($L$2:L248),"")</f>
        <v/>
      </c>
      <c r="N248">
        <f t="shared" si="20"/>
        <v>0</v>
      </c>
      <c r="O248">
        <f>IF(AND($N248=1,'All Data'!$E248&lt;&gt;"",COUNTIFS($N$2:N247,1,'All Data'!$E$2:$E247,'All Data'!$E248)=0),1,0)</f>
        <v>0</v>
      </c>
      <c r="P248" t="str">
        <f>IF($O248=1,SUM($O$2:O248),"")</f>
        <v/>
      </c>
      <c r="Q248">
        <f t="shared" si="21"/>
        <v>0</v>
      </c>
      <c r="R248">
        <f>IF(AND($Q248=1,'All Data'!$F248&lt;&gt;"",COUNTIFS($Q$2:Q247,1,'All Data'!$F$2:$F247,'All Data'!$F248)=0),1,0)</f>
        <v>0</v>
      </c>
      <c r="S248" t="str">
        <f>IF($R248=1,SUM($R$2:R248),"")</f>
        <v/>
      </c>
      <c r="T248">
        <f t="shared" si="22"/>
        <v>0</v>
      </c>
      <c r="U248">
        <f>IF(AND($T248=1,'All Data'!$G248&lt;&gt;"",COUNTIFS($T$2:T247,1,'All Data'!$G$2:$G247,'All Data'!$G248)=0),1,0)</f>
        <v>0</v>
      </c>
      <c r="V248" t="str">
        <f>IF($U248=1,SUM($U$2:U248),"")</f>
        <v/>
      </c>
      <c r="W248">
        <f t="shared" si="23"/>
        <v>0</v>
      </c>
      <c r="X248" t="str">
        <f>IF($W248=1,SUM($W$2:W248),"")</f>
        <v/>
      </c>
    </row>
    <row r="249" spans="1:24" x14ac:dyDescent="0.3">
      <c r="A249">
        <f>IF(OR($BA1="Any",$BA1=""),1,IF('All Data'!$B249=$BA1,1,0))</f>
        <v>0</v>
      </c>
      <c r="B249">
        <f>IF(OR($BA2="Any",$BA2=""),1,IF('All Data'!$C249=$BA2,1,0))</f>
        <v>1</v>
      </c>
      <c r="C249">
        <f>IF(OR($BA3="Any",$BA3=""),1,IF('All Data'!$D249=$BA3,1,0))</f>
        <v>1</v>
      </c>
      <c r="D249">
        <f>IF(OR($BA4="Any",$BA4=""),1,IF('All Data'!$E249=$BA4,1,0))</f>
        <v>1</v>
      </c>
      <c r="E249">
        <f>IF(OR($BA5="Any",$BA5=""),1,IF('All Data'!$F249=$BA5,1,0))</f>
        <v>1</v>
      </c>
      <c r="F249">
        <f>IF(OR($BA6="Any",$BA6=""),1,IF('All Data'!$G249=$BA6,1,0))</f>
        <v>0</v>
      </c>
      <c r="G249">
        <f>IF(AND(OR($BA$8="",ISNUMBER(SEARCH($BA$8,'All Data'!$K249&amp;" "&amp;'All Data'!$M249))),OR($BA$9="",ISNUMBER(SEARCH($BA$9,'All Data'!$K249&amp;" "&amp;'All Data'!$M249))),OR($BA$10="",ISNUMBER(SEARCH($BA$10,'All Data'!$K249&amp;" "&amp;'All Data'!$M249))),OR($BA$11="",ISNUMBER(SEARCH($BA$11,'All Data'!$K249&amp;" "&amp;'All Data'!$M249))),OR($BA$12="",ISNUMBER(SEARCH($BA$12,'All Data'!$K249&amp;" "&amp;'All Data'!$M249))),OR($BA$13="",ISNUMBER(SEARCH($BA$13,'All Data'!$K249&amp;" "&amp;'All Data'!$M249))),OR($BA$14="",ISNUMBER(SEARCH($BA$14,'All Data'!$K249&amp;" "&amp;'All Data'!$M249))),OR($BA$15="",ISNUMBER(SEARCH($BA$15,'All Data'!$K249&amp;" "&amp;'All Data'!$M249)))),1,0)</f>
        <v>1</v>
      </c>
      <c r="H249">
        <f t="shared" si="18"/>
        <v>0</v>
      </c>
      <c r="I249">
        <f>IF(AND($H249=1,'All Data'!$C249&lt;&gt;"",COUNTIFS($H$2:H248,1,'All Data'!$C$2:$C248,'All Data'!$C249)=0),1,0)</f>
        <v>0</v>
      </c>
      <c r="J249" t="str">
        <f>IF($I249=1,SUM($I$2:I249),"")</f>
        <v/>
      </c>
      <c r="K249">
        <f t="shared" si="19"/>
        <v>0</v>
      </c>
      <c r="L249">
        <f>IF(AND($K249=1,'All Data'!$D249&lt;&gt;"",COUNTIFS($K$2:K248,1,'All Data'!$D$2:$D248,'All Data'!$D249)=0),1,0)</f>
        <v>0</v>
      </c>
      <c r="M249" t="str">
        <f>IF($L249=1,SUM($L$2:L249),"")</f>
        <v/>
      </c>
      <c r="N249">
        <f t="shared" si="20"/>
        <v>0</v>
      </c>
      <c r="O249">
        <f>IF(AND($N249=1,'All Data'!$E249&lt;&gt;"",COUNTIFS($N$2:N248,1,'All Data'!$E$2:$E248,'All Data'!$E249)=0),1,0)</f>
        <v>0</v>
      </c>
      <c r="P249" t="str">
        <f>IF($O249=1,SUM($O$2:O249),"")</f>
        <v/>
      </c>
      <c r="Q249">
        <f t="shared" si="21"/>
        <v>0</v>
      </c>
      <c r="R249">
        <f>IF(AND($Q249=1,'All Data'!$F249&lt;&gt;"",COUNTIFS($Q$2:Q248,1,'All Data'!$F$2:$F248,'All Data'!$F249)=0),1,0)</f>
        <v>0</v>
      </c>
      <c r="S249" t="str">
        <f>IF($R249=1,SUM($R$2:R249),"")</f>
        <v/>
      </c>
      <c r="T249">
        <f t="shared" si="22"/>
        <v>0</v>
      </c>
      <c r="U249">
        <f>IF(AND($T249=1,'All Data'!$G249&lt;&gt;"",COUNTIFS($T$2:T248,1,'All Data'!$G$2:$G248,'All Data'!$G249)=0),1,0)</f>
        <v>0</v>
      </c>
      <c r="V249" t="str">
        <f>IF($U249=1,SUM($U$2:U249),"")</f>
        <v/>
      </c>
      <c r="W249">
        <f t="shared" si="23"/>
        <v>0</v>
      </c>
      <c r="X249" t="str">
        <f>IF($W249=1,SUM($W$2:W249),"")</f>
        <v/>
      </c>
    </row>
    <row r="250" spans="1:24" x14ac:dyDescent="0.3">
      <c r="A250">
        <f>IF(OR($BA1="Any",$BA1=""),1,IF('All Data'!$B250=$BA1,1,0))</f>
        <v>0</v>
      </c>
      <c r="B250">
        <f>IF(OR($BA2="Any",$BA2=""),1,IF('All Data'!$C250=$BA2,1,0))</f>
        <v>1</v>
      </c>
      <c r="C250">
        <f>IF(OR($BA3="Any",$BA3=""),1,IF('All Data'!$D250=$BA3,1,0))</f>
        <v>1</v>
      </c>
      <c r="D250">
        <f>IF(OR($BA4="Any",$BA4=""),1,IF('All Data'!$E250=$BA4,1,0))</f>
        <v>1</v>
      </c>
      <c r="E250">
        <f>IF(OR($BA5="Any",$BA5=""),1,IF('All Data'!$F250=$BA5,1,0))</f>
        <v>1</v>
      </c>
      <c r="F250">
        <f>IF(OR($BA6="Any",$BA6=""),1,IF('All Data'!$G250=$BA6,1,0))</f>
        <v>0</v>
      </c>
      <c r="G250">
        <f>IF(AND(OR($BA$8="",ISNUMBER(SEARCH($BA$8,'All Data'!$K250&amp;" "&amp;'All Data'!$M250))),OR($BA$9="",ISNUMBER(SEARCH($BA$9,'All Data'!$K250&amp;" "&amp;'All Data'!$M250))),OR($BA$10="",ISNUMBER(SEARCH($BA$10,'All Data'!$K250&amp;" "&amp;'All Data'!$M250))),OR($BA$11="",ISNUMBER(SEARCH($BA$11,'All Data'!$K250&amp;" "&amp;'All Data'!$M250))),OR($BA$12="",ISNUMBER(SEARCH($BA$12,'All Data'!$K250&amp;" "&amp;'All Data'!$M250))),OR($BA$13="",ISNUMBER(SEARCH($BA$13,'All Data'!$K250&amp;" "&amp;'All Data'!$M250))),OR($BA$14="",ISNUMBER(SEARCH($BA$14,'All Data'!$K250&amp;" "&amp;'All Data'!$M250))),OR($BA$15="",ISNUMBER(SEARCH($BA$15,'All Data'!$K250&amp;" "&amp;'All Data'!$M250)))),1,0)</f>
        <v>1</v>
      </c>
      <c r="H250">
        <f t="shared" si="18"/>
        <v>0</v>
      </c>
      <c r="I250">
        <f>IF(AND($H250=1,'All Data'!$C250&lt;&gt;"",COUNTIFS($H$2:H249,1,'All Data'!$C$2:$C249,'All Data'!$C250)=0),1,0)</f>
        <v>0</v>
      </c>
      <c r="J250" t="str">
        <f>IF($I250=1,SUM($I$2:I250),"")</f>
        <v/>
      </c>
      <c r="K250">
        <f t="shared" si="19"/>
        <v>0</v>
      </c>
      <c r="L250">
        <f>IF(AND($K250=1,'All Data'!$D250&lt;&gt;"",COUNTIFS($K$2:K249,1,'All Data'!$D$2:$D249,'All Data'!$D250)=0),1,0)</f>
        <v>0</v>
      </c>
      <c r="M250" t="str">
        <f>IF($L250=1,SUM($L$2:L250),"")</f>
        <v/>
      </c>
      <c r="N250">
        <f t="shared" si="20"/>
        <v>0</v>
      </c>
      <c r="O250">
        <f>IF(AND($N250=1,'All Data'!$E250&lt;&gt;"",COUNTIFS($N$2:N249,1,'All Data'!$E$2:$E249,'All Data'!$E250)=0),1,0)</f>
        <v>0</v>
      </c>
      <c r="P250" t="str">
        <f>IF($O250=1,SUM($O$2:O250),"")</f>
        <v/>
      </c>
      <c r="Q250">
        <f t="shared" si="21"/>
        <v>0</v>
      </c>
      <c r="R250">
        <f>IF(AND($Q250=1,'All Data'!$F250&lt;&gt;"",COUNTIFS($Q$2:Q249,1,'All Data'!$F$2:$F249,'All Data'!$F250)=0),1,0)</f>
        <v>0</v>
      </c>
      <c r="S250" t="str">
        <f>IF($R250=1,SUM($R$2:R250),"")</f>
        <v/>
      </c>
      <c r="T250">
        <f t="shared" si="22"/>
        <v>0</v>
      </c>
      <c r="U250">
        <f>IF(AND($T250=1,'All Data'!$G250&lt;&gt;"",COUNTIFS($T$2:T249,1,'All Data'!$G$2:$G249,'All Data'!$G250)=0),1,0)</f>
        <v>0</v>
      </c>
      <c r="V250" t="str">
        <f>IF($U250=1,SUM($U$2:U250),"")</f>
        <v/>
      </c>
      <c r="W250">
        <f t="shared" si="23"/>
        <v>0</v>
      </c>
      <c r="X250" t="str">
        <f>IF($W250=1,SUM($W$2:W250),"")</f>
        <v/>
      </c>
    </row>
    <row r="251" spans="1:24" x14ac:dyDescent="0.3">
      <c r="A251">
        <f>IF(OR($BA1="Any",$BA1=""),1,IF('All Data'!$B251=$BA1,1,0))</f>
        <v>0</v>
      </c>
      <c r="B251">
        <f>IF(OR($BA2="Any",$BA2=""),1,IF('All Data'!$C251=$BA2,1,0))</f>
        <v>1</v>
      </c>
      <c r="C251">
        <f>IF(OR($BA3="Any",$BA3=""),1,IF('All Data'!$D251=$BA3,1,0))</f>
        <v>1</v>
      </c>
      <c r="D251">
        <f>IF(OR($BA4="Any",$BA4=""),1,IF('All Data'!$E251=$BA4,1,0))</f>
        <v>1</v>
      </c>
      <c r="E251">
        <f>IF(OR($BA5="Any",$BA5=""),1,IF('All Data'!$F251=$BA5,1,0))</f>
        <v>1</v>
      </c>
      <c r="F251">
        <f>IF(OR($BA6="Any",$BA6=""),1,IF('All Data'!$G251=$BA6,1,0))</f>
        <v>0</v>
      </c>
      <c r="G251">
        <f>IF(AND(OR($BA$8="",ISNUMBER(SEARCH($BA$8,'All Data'!$K251&amp;" "&amp;'All Data'!$M251))),OR($BA$9="",ISNUMBER(SEARCH($BA$9,'All Data'!$K251&amp;" "&amp;'All Data'!$M251))),OR($BA$10="",ISNUMBER(SEARCH($BA$10,'All Data'!$K251&amp;" "&amp;'All Data'!$M251))),OR($BA$11="",ISNUMBER(SEARCH($BA$11,'All Data'!$K251&amp;" "&amp;'All Data'!$M251))),OR($BA$12="",ISNUMBER(SEARCH($BA$12,'All Data'!$K251&amp;" "&amp;'All Data'!$M251))),OR($BA$13="",ISNUMBER(SEARCH($BA$13,'All Data'!$K251&amp;" "&amp;'All Data'!$M251))),OR($BA$14="",ISNUMBER(SEARCH($BA$14,'All Data'!$K251&amp;" "&amp;'All Data'!$M251))),OR($BA$15="",ISNUMBER(SEARCH($BA$15,'All Data'!$K251&amp;" "&amp;'All Data'!$M251)))),1,0)</f>
        <v>1</v>
      </c>
      <c r="H251">
        <f t="shared" si="18"/>
        <v>0</v>
      </c>
      <c r="I251">
        <f>IF(AND($H251=1,'All Data'!$C251&lt;&gt;"",COUNTIFS($H$2:H250,1,'All Data'!$C$2:$C250,'All Data'!$C251)=0),1,0)</f>
        <v>0</v>
      </c>
      <c r="J251" t="str">
        <f>IF($I251=1,SUM($I$2:I251),"")</f>
        <v/>
      </c>
      <c r="K251">
        <f t="shared" si="19"/>
        <v>0</v>
      </c>
      <c r="L251">
        <f>IF(AND($K251=1,'All Data'!$D251&lt;&gt;"",COUNTIFS($K$2:K250,1,'All Data'!$D$2:$D250,'All Data'!$D251)=0),1,0)</f>
        <v>0</v>
      </c>
      <c r="M251" t="str">
        <f>IF($L251=1,SUM($L$2:L251),"")</f>
        <v/>
      </c>
      <c r="N251">
        <f t="shared" si="20"/>
        <v>0</v>
      </c>
      <c r="O251">
        <f>IF(AND($N251=1,'All Data'!$E251&lt;&gt;"",COUNTIFS($N$2:N250,1,'All Data'!$E$2:$E250,'All Data'!$E251)=0),1,0)</f>
        <v>0</v>
      </c>
      <c r="P251" t="str">
        <f>IF($O251=1,SUM($O$2:O251),"")</f>
        <v/>
      </c>
      <c r="Q251">
        <f t="shared" si="21"/>
        <v>0</v>
      </c>
      <c r="R251">
        <f>IF(AND($Q251=1,'All Data'!$F251&lt;&gt;"",COUNTIFS($Q$2:Q250,1,'All Data'!$F$2:$F250,'All Data'!$F251)=0),1,0)</f>
        <v>0</v>
      </c>
      <c r="S251" t="str">
        <f>IF($R251=1,SUM($R$2:R251),"")</f>
        <v/>
      </c>
      <c r="T251">
        <f t="shared" si="22"/>
        <v>0</v>
      </c>
      <c r="U251">
        <f>IF(AND($T251=1,'All Data'!$G251&lt;&gt;"",COUNTIFS($T$2:T250,1,'All Data'!$G$2:$G250,'All Data'!$G251)=0),1,0)</f>
        <v>0</v>
      </c>
      <c r="V251" t="str">
        <f>IF($U251=1,SUM($U$2:U251),"")</f>
        <v/>
      </c>
      <c r="W251">
        <f t="shared" si="23"/>
        <v>0</v>
      </c>
      <c r="X251" t="str">
        <f>IF($W251=1,SUM($W$2:W251),"")</f>
        <v/>
      </c>
    </row>
    <row r="252" spans="1:24" x14ac:dyDescent="0.3">
      <c r="A252">
        <f>IF(OR($BA1="Any",$BA1=""),1,IF('All Data'!$B252=$BA1,1,0))</f>
        <v>0</v>
      </c>
      <c r="B252">
        <f>IF(OR($BA2="Any",$BA2=""),1,IF('All Data'!$C252=$BA2,1,0))</f>
        <v>1</v>
      </c>
      <c r="C252">
        <f>IF(OR($BA3="Any",$BA3=""),1,IF('All Data'!$D252=$BA3,1,0))</f>
        <v>1</v>
      </c>
      <c r="D252">
        <f>IF(OR($BA4="Any",$BA4=""),1,IF('All Data'!$E252=$BA4,1,0))</f>
        <v>1</v>
      </c>
      <c r="E252">
        <f>IF(OR($BA5="Any",$BA5=""),1,IF('All Data'!$F252=$BA5,1,0))</f>
        <v>1</v>
      </c>
      <c r="F252">
        <f>IF(OR($BA6="Any",$BA6=""),1,IF('All Data'!$G252=$BA6,1,0))</f>
        <v>0</v>
      </c>
      <c r="G252">
        <f>IF(AND(OR($BA$8="",ISNUMBER(SEARCH($BA$8,'All Data'!$K252&amp;" "&amp;'All Data'!$M252))),OR($BA$9="",ISNUMBER(SEARCH($BA$9,'All Data'!$K252&amp;" "&amp;'All Data'!$M252))),OR($BA$10="",ISNUMBER(SEARCH($BA$10,'All Data'!$K252&amp;" "&amp;'All Data'!$M252))),OR($BA$11="",ISNUMBER(SEARCH($BA$11,'All Data'!$K252&amp;" "&amp;'All Data'!$M252))),OR($BA$12="",ISNUMBER(SEARCH($BA$12,'All Data'!$K252&amp;" "&amp;'All Data'!$M252))),OR($BA$13="",ISNUMBER(SEARCH($BA$13,'All Data'!$K252&amp;" "&amp;'All Data'!$M252))),OR($BA$14="",ISNUMBER(SEARCH($BA$14,'All Data'!$K252&amp;" "&amp;'All Data'!$M252))),OR($BA$15="",ISNUMBER(SEARCH($BA$15,'All Data'!$K252&amp;" "&amp;'All Data'!$M252)))),1,0)</f>
        <v>1</v>
      </c>
      <c r="H252">
        <f t="shared" si="18"/>
        <v>0</v>
      </c>
      <c r="I252">
        <f>IF(AND($H252=1,'All Data'!$C252&lt;&gt;"",COUNTIFS($H$2:H251,1,'All Data'!$C$2:$C251,'All Data'!$C252)=0),1,0)</f>
        <v>0</v>
      </c>
      <c r="J252" t="str">
        <f>IF($I252=1,SUM($I$2:I252),"")</f>
        <v/>
      </c>
      <c r="K252">
        <f t="shared" si="19"/>
        <v>0</v>
      </c>
      <c r="L252">
        <f>IF(AND($K252=1,'All Data'!$D252&lt;&gt;"",COUNTIFS($K$2:K251,1,'All Data'!$D$2:$D251,'All Data'!$D252)=0),1,0)</f>
        <v>0</v>
      </c>
      <c r="M252" t="str">
        <f>IF($L252=1,SUM($L$2:L252),"")</f>
        <v/>
      </c>
      <c r="N252">
        <f t="shared" si="20"/>
        <v>0</v>
      </c>
      <c r="O252">
        <f>IF(AND($N252=1,'All Data'!$E252&lt;&gt;"",COUNTIFS($N$2:N251,1,'All Data'!$E$2:$E251,'All Data'!$E252)=0),1,0)</f>
        <v>0</v>
      </c>
      <c r="P252" t="str">
        <f>IF($O252=1,SUM($O$2:O252),"")</f>
        <v/>
      </c>
      <c r="Q252">
        <f t="shared" si="21"/>
        <v>0</v>
      </c>
      <c r="R252">
        <f>IF(AND($Q252=1,'All Data'!$F252&lt;&gt;"",COUNTIFS($Q$2:Q251,1,'All Data'!$F$2:$F251,'All Data'!$F252)=0),1,0)</f>
        <v>0</v>
      </c>
      <c r="S252" t="str">
        <f>IF($R252=1,SUM($R$2:R252),"")</f>
        <v/>
      </c>
      <c r="T252">
        <f t="shared" si="22"/>
        <v>0</v>
      </c>
      <c r="U252">
        <f>IF(AND($T252=1,'All Data'!$G252&lt;&gt;"",COUNTIFS($T$2:T251,1,'All Data'!$G$2:$G251,'All Data'!$G252)=0),1,0)</f>
        <v>0</v>
      </c>
      <c r="V252" t="str">
        <f>IF($U252=1,SUM($U$2:U252),"")</f>
        <v/>
      </c>
      <c r="W252">
        <f t="shared" si="23"/>
        <v>0</v>
      </c>
      <c r="X252" t="str">
        <f>IF($W252=1,SUM($W$2:W252),"")</f>
        <v/>
      </c>
    </row>
    <row r="253" spans="1:24" x14ac:dyDescent="0.3">
      <c r="A253">
        <f>IF(OR($BA1="Any",$BA1=""),1,IF('All Data'!$B253=$BA1,1,0))</f>
        <v>0</v>
      </c>
      <c r="B253">
        <f>IF(OR($BA2="Any",$BA2=""),1,IF('All Data'!$C253=$BA2,1,0))</f>
        <v>1</v>
      </c>
      <c r="C253">
        <f>IF(OR($BA3="Any",$BA3=""),1,IF('All Data'!$D253=$BA3,1,0))</f>
        <v>1</v>
      </c>
      <c r="D253">
        <f>IF(OR($BA4="Any",$BA4=""),1,IF('All Data'!$E253=$BA4,1,0))</f>
        <v>1</v>
      </c>
      <c r="E253">
        <f>IF(OR($BA5="Any",$BA5=""),1,IF('All Data'!$F253=$BA5,1,0))</f>
        <v>1</v>
      </c>
      <c r="F253">
        <f>IF(OR($BA6="Any",$BA6=""),1,IF('All Data'!$G253=$BA6,1,0))</f>
        <v>1</v>
      </c>
      <c r="G253">
        <f>IF(AND(OR($BA$8="",ISNUMBER(SEARCH($BA$8,'All Data'!$K253&amp;" "&amp;'All Data'!$M253))),OR($BA$9="",ISNUMBER(SEARCH($BA$9,'All Data'!$K253&amp;" "&amp;'All Data'!$M253))),OR($BA$10="",ISNUMBER(SEARCH($BA$10,'All Data'!$K253&amp;" "&amp;'All Data'!$M253))),OR($BA$11="",ISNUMBER(SEARCH($BA$11,'All Data'!$K253&amp;" "&amp;'All Data'!$M253))),OR($BA$12="",ISNUMBER(SEARCH($BA$12,'All Data'!$K253&amp;" "&amp;'All Data'!$M253))),OR($BA$13="",ISNUMBER(SEARCH($BA$13,'All Data'!$K253&amp;" "&amp;'All Data'!$M253))),OR($BA$14="",ISNUMBER(SEARCH($BA$14,'All Data'!$K253&amp;" "&amp;'All Data'!$M253))),OR($BA$15="",ISNUMBER(SEARCH($BA$15,'All Data'!$K253&amp;" "&amp;'All Data'!$M253)))),1,0)</f>
        <v>1</v>
      </c>
      <c r="H253">
        <f t="shared" si="18"/>
        <v>0</v>
      </c>
      <c r="I253">
        <f>IF(AND($H253=1,'All Data'!$C253&lt;&gt;"",COUNTIFS($H$2:H252,1,'All Data'!$C$2:$C252,'All Data'!$C253)=0),1,0)</f>
        <v>0</v>
      </c>
      <c r="J253" t="str">
        <f>IF($I253=1,SUM($I$2:I253),"")</f>
        <v/>
      </c>
      <c r="K253">
        <f t="shared" si="19"/>
        <v>0</v>
      </c>
      <c r="L253">
        <f>IF(AND($K253=1,'All Data'!$D253&lt;&gt;"",COUNTIFS($K$2:K252,1,'All Data'!$D$2:$D252,'All Data'!$D253)=0),1,0)</f>
        <v>0</v>
      </c>
      <c r="M253" t="str">
        <f>IF($L253=1,SUM($L$2:L253),"")</f>
        <v/>
      </c>
      <c r="N253">
        <f t="shared" si="20"/>
        <v>0</v>
      </c>
      <c r="O253">
        <f>IF(AND($N253=1,'All Data'!$E253&lt;&gt;"",COUNTIFS($N$2:N252,1,'All Data'!$E$2:$E252,'All Data'!$E253)=0),1,0)</f>
        <v>0</v>
      </c>
      <c r="P253" t="str">
        <f>IF($O253=1,SUM($O$2:O253),"")</f>
        <v/>
      </c>
      <c r="Q253">
        <f t="shared" si="21"/>
        <v>0</v>
      </c>
      <c r="R253">
        <f>IF(AND($Q253=1,'All Data'!$F253&lt;&gt;"",COUNTIFS($Q$2:Q252,1,'All Data'!$F$2:$F252,'All Data'!$F253)=0),1,0)</f>
        <v>0</v>
      </c>
      <c r="S253" t="str">
        <f>IF($R253=1,SUM($R$2:R253),"")</f>
        <v/>
      </c>
      <c r="T253">
        <f t="shared" si="22"/>
        <v>0</v>
      </c>
      <c r="U253">
        <f>IF(AND($T253=1,'All Data'!$G253&lt;&gt;"",COUNTIFS($T$2:T252,1,'All Data'!$G$2:$G252,'All Data'!$G253)=0),1,0)</f>
        <v>0</v>
      </c>
      <c r="V253" t="str">
        <f>IF($U253=1,SUM($U$2:U253),"")</f>
        <v/>
      </c>
      <c r="W253">
        <f t="shared" si="23"/>
        <v>0</v>
      </c>
      <c r="X253" t="str">
        <f>IF($W253=1,SUM($W$2:W253),"")</f>
        <v/>
      </c>
    </row>
    <row r="254" spans="1:24" x14ac:dyDescent="0.3">
      <c r="A254">
        <f>IF(OR($BA1="Any",$BA1=""),1,IF('All Data'!$B254=$BA1,1,0))</f>
        <v>0</v>
      </c>
      <c r="B254">
        <f>IF(OR($BA2="Any",$BA2=""),1,IF('All Data'!$C254=$BA2,1,0))</f>
        <v>1</v>
      </c>
      <c r="C254">
        <f>IF(OR($BA3="Any",$BA3=""),1,IF('All Data'!$D254=$BA3,1,0))</f>
        <v>1</v>
      </c>
      <c r="D254">
        <f>IF(OR($BA4="Any",$BA4=""),1,IF('All Data'!$E254=$BA4,1,0))</f>
        <v>1</v>
      </c>
      <c r="E254">
        <f>IF(OR($BA5="Any",$BA5=""),1,IF('All Data'!$F254=$BA5,1,0))</f>
        <v>1</v>
      </c>
      <c r="F254">
        <f>IF(OR($BA6="Any",$BA6=""),1,IF('All Data'!$G254=$BA6,1,0))</f>
        <v>0</v>
      </c>
      <c r="G254">
        <f>IF(AND(OR($BA$8="",ISNUMBER(SEARCH($BA$8,'All Data'!$K254&amp;" "&amp;'All Data'!$M254))),OR($BA$9="",ISNUMBER(SEARCH($BA$9,'All Data'!$K254&amp;" "&amp;'All Data'!$M254))),OR($BA$10="",ISNUMBER(SEARCH($BA$10,'All Data'!$K254&amp;" "&amp;'All Data'!$M254))),OR($BA$11="",ISNUMBER(SEARCH($BA$11,'All Data'!$K254&amp;" "&amp;'All Data'!$M254))),OR($BA$12="",ISNUMBER(SEARCH($BA$12,'All Data'!$K254&amp;" "&amp;'All Data'!$M254))),OR($BA$13="",ISNUMBER(SEARCH($BA$13,'All Data'!$K254&amp;" "&amp;'All Data'!$M254))),OR($BA$14="",ISNUMBER(SEARCH($BA$14,'All Data'!$K254&amp;" "&amp;'All Data'!$M254))),OR($BA$15="",ISNUMBER(SEARCH($BA$15,'All Data'!$K254&amp;" "&amp;'All Data'!$M254)))),1,0)</f>
        <v>1</v>
      </c>
      <c r="H254">
        <f t="shared" si="18"/>
        <v>0</v>
      </c>
      <c r="I254">
        <f>IF(AND($H254=1,'All Data'!$C254&lt;&gt;"",COUNTIFS($H$2:H253,1,'All Data'!$C$2:$C253,'All Data'!$C254)=0),1,0)</f>
        <v>0</v>
      </c>
      <c r="J254" t="str">
        <f>IF($I254=1,SUM($I$2:I254),"")</f>
        <v/>
      </c>
      <c r="K254">
        <f t="shared" si="19"/>
        <v>0</v>
      </c>
      <c r="L254">
        <f>IF(AND($K254=1,'All Data'!$D254&lt;&gt;"",COUNTIFS($K$2:K253,1,'All Data'!$D$2:$D253,'All Data'!$D254)=0),1,0)</f>
        <v>0</v>
      </c>
      <c r="M254" t="str">
        <f>IF($L254=1,SUM($L$2:L254),"")</f>
        <v/>
      </c>
      <c r="N254">
        <f t="shared" si="20"/>
        <v>0</v>
      </c>
      <c r="O254">
        <f>IF(AND($N254=1,'All Data'!$E254&lt;&gt;"",COUNTIFS($N$2:N253,1,'All Data'!$E$2:$E253,'All Data'!$E254)=0),1,0)</f>
        <v>0</v>
      </c>
      <c r="P254" t="str">
        <f>IF($O254=1,SUM($O$2:O254),"")</f>
        <v/>
      </c>
      <c r="Q254">
        <f t="shared" si="21"/>
        <v>0</v>
      </c>
      <c r="R254">
        <f>IF(AND($Q254=1,'All Data'!$F254&lt;&gt;"",COUNTIFS($Q$2:Q253,1,'All Data'!$F$2:$F253,'All Data'!$F254)=0),1,0)</f>
        <v>0</v>
      </c>
      <c r="S254" t="str">
        <f>IF($R254=1,SUM($R$2:R254),"")</f>
        <v/>
      </c>
      <c r="T254">
        <f t="shared" si="22"/>
        <v>0</v>
      </c>
      <c r="U254">
        <f>IF(AND($T254=1,'All Data'!$G254&lt;&gt;"",COUNTIFS($T$2:T253,1,'All Data'!$G$2:$G253,'All Data'!$G254)=0),1,0)</f>
        <v>0</v>
      </c>
      <c r="V254" t="str">
        <f>IF($U254=1,SUM($U$2:U254),"")</f>
        <v/>
      </c>
      <c r="W254">
        <f t="shared" si="23"/>
        <v>0</v>
      </c>
      <c r="X254" t="str">
        <f>IF($W254=1,SUM($W$2:W254),"")</f>
        <v/>
      </c>
    </row>
    <row r="255" spans="1:24" x14ac:dyDescent="0.3">
      <c r="A255">
        <f>IF(OR($BA1="Any",$BA1=""),1,IF('All Data'!$B255=$BA1,1,0))</f>
        <v>0</v>
      </c>
      <c r="B255">
        <f>IF(OR($BA2="Any",$BA2=""),1,IF('All Data'!$C255=$BA2,1,0))</f>
        <v>1</v>
      </c>
      <c r="C255">
        <f>IF(OR($BA3="Any",$BA3=""),1,IF('All Data'!$D255=$BA3,1,0))</f>
        <v>1</v>
      </c>
      <c r="D255">
        <f>IF(OR($BA4="Any",$BA4=""),1,IF('All Data'!$E255=$BA4,1,0))</f>
        <v>1</v>
      </c>
      <c r="E255">
        <f>IF(OR($BA5="Any",$BA5=""),1,IF('All Data'!$F255=$BA5,1,0))</f>
        <v>1</v>
      </c>
      <c r="F255">
        <f>IF(OR($BA6="Any",$BA6=""),1,IF('All Data'!$G255=$BA6,1,0))</f>
        <v>0</v>
      </c>
      <c r="G255">
        <f>IF(AND(OR($BA$8="",ISNUMBER(SEARCH($BA$8,'All Data'!$K255&amp;" "&amp;'All Data'!$M255))),OR($BA$9="",ISNUMBER(SEARCH($BA$9,'All Data'!$K255&amp;" "&amp;'All Data'!$M255))),OR($BA$10="",ISNUMBER(SEARCH($BA$10,'All Data'!$K255&amp;" "&amp;'All Data'!$M255))),OR($BA$11="",ISNUMBER(SEARCH($BA$11,'All Data'!$K255&amp;" "&amp;'All Data'!$M255))),OR($BA$12="",ISNUMBER(SEARCH($BA$12,'All Data'!$K255&amp;" "&amp;'All Data'!$M255))),OR($BA$13="",ISNUMBER(SEARCH($BA$13,'All Data'!$K255&amp;" "&amp;'All Data'!$M255))),OR($BA$14="",ISNUMBER(SEARCH($BA$14,'All Data'!$K255&amp;" "&amp;'All Data'!$M255))),OR($BA$15="",ISNUMBER(SEARCH($BA$15,'All Data'!$K255&amp;" "&amp;'All Data'!$M255)))),1,0)</f>
        <v>1</v>
      </c>
      <c r="H255">
        <f t="shared" si="18"/>
        <v>0</v>
      </c>
      <c r="I255">
        <f>IF(AND($H255=1,'All Data'!$C255&lt;&gt;"",COUNTIFS($H$2:H254,1,'All Data'!$C$2:$C254,'All Data'!$C255)=0),1,0)</f>
        <v>0</v>
      </c>
      <c r="J255" t="str">
        <f>IF($I255=1,SUM($I$2:I255),"")</f>
        <v/>
      </c>
      <c r="K255">
        <f t="shared" si="19"/>
        <v>0</v>
      </c>
      <c r="L255">
        <f>IF(AND($K255=1,'All Data'!$D255&lt;&gt;"",COUNTIFS($K$2:K254,1,'All Data'!$D$2:$D254,'All Data'!$D255)=0),1,0)</f>
        <v>0</v>
      </c>
      <c r="M255" t="str">
        <f>IF($L255=1,SUM($L$2:L255),"")</f>
        <v/>
      </c>
      <c r="N255">
        <f t="shared" si="20"/>
        <v>0</v>
      </c>
      <c r="O255">
        <f>IF(AND($N255=1,'All Data'!$E255&lt;&gt;"",COUNTIFS($N$2:N254,1,'All Data'!$E$2:$E254,'All Data'!$E255)=0),1,0)</f>
        <v>0</v>
      </c>
      <c r="P255" t="str">
        <f>IF($O255=1,SUM($O$2:O255),"")</f>
        <v/>
      </c>
      <c r="Q255">
        <f t="shared" si="21"/>
        <v>0</v>
      </c>
      <c r="R255">
        <f>IF(AND($Q255=1,'All Data'!$F255&lt;&gt;"",COUNTIFS($Q$2:Q254,1,'All Data'!$F$2:$F254,'All Data'!$F255)=0),1,0)</f>
        <v>0</v>
      </c>
      <c r="S255" t="str">
        <f>IF($R255=1,SUM($R$2:R255),"")</f>
        <v/>
      </c>
      <c r="T255">
        <f t="shared" si="22"/>
        <v>0</v>
      </c>
      <c r="U255">
        <f>IF(AND($T255=1,'All Data'!$G255&lt;&gt;"",COUNTIFS($T$2:T254,1,'All Data'!$G$2:$G254,'All Data'!$G255)=0),1,0)</f>
        <v>0</v>
      </c>
      <c r="V255" t="str">
        <f>IF($U255=1,SUM($U$2:U255),"")</f>
        <v/>
      </c>
      <c r="W255">
        <f t="shared" si="23"/>
        <v>0</v>
      </c>
      <c r="X255" t="str">
        <f>IF($W255=1,SUM($W$2:W255),"")</f>
        <v/>
      </c>
    </row>
    <row r="256" spans="1:24" x14ac:dyDescent="0.3">
      <c r="A256">
        <f>IF(OR($BA1="Any",$BA1=""),1,IF('All Data'!$B256=$BA1,1,0))</f>
        <v>0</v>
      </c>
      <c r="B256">
        <f>IF(OR($BA2="Any",$BA2=""),1,IF('All Data'!$C256=$BA2,1,0))</f>
        <v>1</v>
      </c>
      <c r="C256">
        <f>IF(OR($BA3="Any",$BA3=""),1,IF('All Data'!$D256=$BA3,1,0))</f>
        <v>1</v>
      </c>
      <c r="D256">
        <f>IF(OR($BA4="Any",$BA4=""),1,IF('All Data'!$E256=$BA4,1,0))</f>
        <v>1</v>
      </c>
      <c r="E256">
        <f>IF(OR($BA5="Any",$BA5=""),1,IF('All Data'!$F256=$BA5,1,0))</f>
        <v>1</v>
      </c>
      <c r="F256">
        <f>IF(OR($BA6="Any",$BA6=""),1,IF('All Data'!$G256=$BA6,1,0))</f>
        <v>0</v>
      </c>
      <c r="G256">
        <f>IF(AND(OR($BA$8="",ISNUMBER(SEARCH($BA$8,'All Data'!$K256&amp;" "&amp;'All Data'!$M256))),OR($BA$9="",ISNUMBER(SEARCH($BA$9,'All Data'!$K256&amp;" "&amp;'All Data'!$M256))),OR($BA$10="",ISNUMBER(SEARCH($BA$10,'All Data'!$K256&amp;" "&amp;'All Data'!$M256))),OR($BA$11="",ISNUMBER(SEARCH($BA$11,'All Data'!$K256&amp;" "&amp;'All Data'!$M256))),OR($BA$12="",ISNUMBER(SEARCH($BA$12,'All Data'!$K256&amp;" "&amp;'All Data'!$M256))),OR($BA$13="",ISNUMBER(SEARCH($BA$13,'All Data'!$K256&amp;" "&amp;'All Data'!$M256))),OR($BA$14="",ISNUMBER(SEARCH($BA$14,'All Data'!$K256&amp;" "&amp;'All Data'!$M256))),OR($BA$15="",ISNUMBER(SEARCH($BA$15,'All Data'!$K256&amp;" "&amp;'All Data'!$M256)))),1,0)</f>
        <v>1</v>
      </c>
      <c r="H256">
        <f t="shared" si="18"/>
        <v>0</v>
      </c>
      <c r="I256">
        <f>IF(AND($H256=1,'All Data'!$C256&lt;&gt;"",COUNTIFS($H$2:H255,1,'All Data'!$C$2:$C255,'All Data'!$C256)=0),1,0)</f>
        <v>0</v>
      </c>
      <c r="J256" t="str">
        <f>IF($I256=1,SUM($I$2:I256),"")</f>
        <v/>
      </c>
      <c r="K256">
        <f t="shared" si="19"/>
        <v>0</v>
      </c>
      <c r="L256">
        <f>IF(AND($K256=1,'All Data'!$D256&lt;&gt;"",COUNTIFS($K$2:K255,1,'All Data'!$D$2:$D255,'All Data'!$D256)=0),1,0)</f>
        <v>0</v>
      </c>
      <c r="M256" t="str">
        <f>IF($L256=1,SUM($L$2:L256),"")</f>
        <v/>
      </c>
      <c r="N256">
        <f t="shared" si="20"/>
        <v>0</v>
      </c>
      <c r="O256">
        <f>IF(AND($N256=1,'All Data'!$E256&lt;&gt;"",COUNTIFS($N$2:N255,1,'All Data'!$E$2:$E255,'All Data'!$E256)=0),1,0)</f>
        <v>0</v>
      </c>
      <c r="P256" t="str">
        <f>IF($O256=1,SUM($O$2:O256),"")</f>
        <v/>
      </c>
      <c r="Q256">
        <f t="shared" si="21"/>
        <v>0</v>
      </c>
      <c r="R256">
        <f>IF(AND($Q256=1,'All Data'!$F256&lt;&gt;"",COUNTIFS($Q$2:Q255,1,'All Data'!$F$2:$F255,'All Data'!$F256)=0),1,0)</f>
        <v>0</v>
      </c>
      <c r="S256" t="str">
        <f>IF($R256=1,SUM($R$2:R256),"")</f>
        <v/>
      </c>
      <c r="T256">
        <f t="shared" si="22"/>
        <v>0</v>
      </c>
      <c r="U256">
        <f>IF(AND($T256=1,'All Data'!$G256&lt;&gt;"",COUNTIFS($T$2:T255,1,'All Data'!$G$2:$G255,'All Data'!$G256)=0),1,0)</f>
        <v>0</v>
      </c>
      <c r="V256" t="str">
        <f>IF($U256=1,SUM($U$2:U256),"")</f>
        <v/>
      </c>
      <c r="W256">
        <f t="shared" si="23"/>
        <v>0</v>
      </c>
      <c r="X256" t="str">
        <f>IF($W256=1,SUM($W$2:W256),"")</f>
        <v/>
      </c>
    </row>
    <row r="257" spans="1:24" x14ac:dyDescent="0.3">
      <c r="A257">
        <f>IF(OR($BA1="Any",$BA1=""),1,IF('All Data'!$B257=$BA1,1,0))</f>
        <v>0</v>
      </c>
      <c r="B257">
        <f>IF(OR($BA2="Any",$BA2=""),1,IF('All Data'!$C257=$BA2,1,0))</f>
        <v>1</v>
      </c>
      <c r="C257">
        <f>IF(OR($BA3="Any",$BA3=""),1,IF('All Data'!$D257=$BA3,1,0))</f>
        <v>1</v>
      </c>
      <c r="D257">
        <f>IF(OR($BA4="Any",$BA4=""),1,IF('All Data'!$E257=$BA4,1,0))</f>
        <v>1</v>
      </c>
      <c r="E257">
        <f>IF(OR($BA5="Any",$BA5=""),1,IF('All Data'!$F257=$BA5,1,0))</f>
        <v>1</v>
      </c>
      <c r="F257">
        <f>IF(OR($BA6="Any",$BA6=""),1,IF('All Data'!$G257=$BA6,1,0))</f>
        <v>0</v>
      </c>
      <c r="G257">
        <f>IF(AND(OR($BA$8="",ISNUMBER(SEARCH($BA$8,'All Data'!$K257&amp;" "&amp;'All Data'!$M257))),OR($BA$9="",ISNUMBER(SEARCH($BA$9,'All Data'!$K257&amp;" "&amp;'All Data'!$M257))),OR($BA$10="",ISNUMBER(SEARCH($BA$10,'All Data'!$K257&amp;" "&amp;'All Data'!$M257))),OR($BA$11="",ISNUMBER(SEARCH($BA$11,'All Data'!$K257&amp;" "&amp;'All Data'!$M257))),OR($BA$12="",ISNUMBER(SEARCH($BA$12,'All Data'!$K257&amp;" "&amp;'All Data'!$M257))),OR($BA$13="",ISNUMBER(SEARCH($BA$13,'All Data'!$K257&amp;" "&amp;'All Data'!$M257))),OR($BA$14="",ISNUMBER(SEARCH($BA$14,'All Data'!$K257&amp;" "&amp;'All Data'!$M257))),OR($BA$15="",ISNUMBER(SEARCH($BA$15,'All Data'!$K257&amp;" "&amp;'All Data'!$M257)))),1,0)</f>
        <v>1</v>
      </c>
      <c r="H257">
        <f t="shared" si="18"/>
        <v>0</v>
      </c>
      <c r="I257">
        <f>IF(AND($H257=1,'All Data'!$C257&lt;&gt;"",COUNTIFS($H$2:H256,1,'All Data'!$C$2:$C256,'All Data'!$C257)=0),1,0)</f>
        <v>0</v>
      </c>
      <c r="J257" t="str">
        <f>IF($I257=1,SUM($I$2:I257),"")</f>
        <v/>
      </c>
      <c r="K257">
        <f t="shared" si="19"/>
        <v>0</v>
      </c>
      <c r="L257">
        <f>IF(AND($K257=1,'All Data'!$D257&lt;&gt;"",COUNTIFS($K$2:K256,1,'All Data'!$D$2:$D256,'All Data'!$D257)=0),1,0)</f>
        <v>0</v>
      </c>
      <c r="M257" t="str">
        <f>IF($L257=1,SUM($L$2:L257),"")</f>
        <v/>
      </c>
      <c r="N257">
        <f t="shared" si="20"/>
        <v>0</v>
      </c>
      <c r="O257">
        <f>IF(AND($N257=1,'All Data'!$E257&lt;&gt;"",COUNTIFS($N$2:N256,1,'All Data'!$E$2:$E256,'All Data'!$E257)=0),1,0)</f>
        <v>0</v>
      </c>
      <c r="P257" t="str">
        <f>IF($O257=1,SUM($O$2:O257),"")</f>
        <v/>
      </c>
      <c r="Q257">
        <f t="shared" si="21"/>
        <v>0</v>
      </c>
      <c r="R257">
        <f>IF(AND($Q257=1,'All Data'!$F257&lt;&gt;"",COUNTIFS($Q$2:Q256,1,'All Data'!$F$2:$F256,'All Data'!$F257)=0),1,0)</f>
        <v>0</v>
      </c>
      <c r="S257" t="str">
        <f>IF($R257=1,SUM($R$2:R257),"")</f>
        <v/>
      </c>
      <c r="T257">
        <f t="shared" si="22"/>
        <v>0</v>
      </c>
      <c r="U257">
        <f>IF(AND($T257=1,'All Data'!$G257&lt;&gt;"",COUNTIFS($T$2:T256,1,'All Data'!$G$2:$G256,'All Data'!$G257)=0),1,0)</f>
        <v>0</v>
      </c>
      <c r="V257" t="str">
        <f>IF($U257=1,SUM($U$2:U257),"")</f>
        <v/>
      </c>
      <c r="W257">
        <f t="shared" si="23"/>
        <v>0</v>
      </c>
      <c r="X257" t="str">
        <f>IF($W257=1,SUM($W$2:W257),"")</f>
        <v/>
      </c>
    </row>
    <row r="258" spans="1:24" x14ac:dyDescent="0.3">
      <c r="A258">
        <f>IF(OR($BA1="Any",$BA1=""),1,IF('All Data'!$B258=$BA1,1,0))</f>
        <v>0</v>
      </c>
      <c r="B258">
        <f>IF(OR($BA2="Any",$BA2=""),1,IF('All Data'!$C258=$BA2,1,0))</f>
        <v>1</v>
      </c>
      <c r="C258">
        <f>IF(OR($BA3="Any",$BA3=""),1,IF('All Data'!$D258=$BA3,1,0))</f>
        <v>1</v>
      </c>
      <c r="D258">
        <f>IF(OR($BA4="Any",$BA4=""),1,IF('All Data'!$E258=$BA4,1,0))</f>
        <v>1</v>
      </c>
      <c r="E258">
        <f>IF(OR($BA5="Any",$BA5=""),1,IF('All Data'!$F258=$BA5,1,0))</f>
        <v>1</v>
      </c>
      <c r="F258">
        <f>IF(OR($BA6="Any",$BA6=""),1,IF('All Data'!$G258=$BA6,1,0))</f>
        <v>0</v>
      </c>
      <c r="G258">
        <f>IF(AND(OR($BA$8="",ISNUMBER(SEARCH($BA$8,'All Data'!$K258&amp;" "&amp;'All Data'!$M258))),OR($BA$9="",ISNUMBER(SEARCH($BA$9,'All Data'!$K258&amp;" "&amp;'All Data'!$M258))),OR($BA$10="",ISNUMBER(SEARCH($BA$10,'All Data'!$K258&amp;" "&amp;'All Data'!$M258))),OR($BA$11="",ISNUMBER(SEARCH($BA$11,'All Data'!$K258&amp;" "&amp;'All Data'!$M258))),OR($BA$12="",ISNUMBER(SEARCH($BA$12,'All Data'!$K258&amp;" "&amp;'All Data'!$M258))),OR($BA$13="",ISNUMBER(SEARCH($BA$13,'All Data'!$K258&amp;" "&amp;'All Data'!$M258))),OR($BA$14="",ISNUMBER(SEARCH($BA$14,'All Data'!$K258&amp;" "&amp;'All Data'!$M258))),OR($BA$15="",ISNUMBER(SEARCH($BA$15,'All Data'!$K258&amp;" "&amp;'All Data'!$M258)))),1,0)</f>
        <v>1</v>
      </c>
      <c r="H258">
        <f t="shared" ref="H258:H321" si="24">$A258</f>
        <v>0</v>
      </c>
      <c r="I258">
        <f>IF(AND($H258=1,'All Data'!$C258&lt;&gt;"",COUNTIFS($H$2:H257,1,'All Data'!$C$2:$C257,'All Data'!$C258)=0),1,0)</f>
        <v>0</v>
      </c>
      <c r="J258" t="str">
        <f>IF($I258=1,SUM($I$2:I258),"")</f>
        <v/>
      </c>
      <c r="K258">
        <f t="shared" ref="K258:K321" si="25">$A258*$B258</f>
        <v>0</v>
      </c>
      <c r="L258">
        <f>IF(AND($K258=1,'All Data'!$D258&lt;&gt;"",COUNTIFS($K$2:K257,1,'All Data'!$D$2:$D257,'All Data'!$D258)=0),1,0)</f>
        <v>0</v>
      </c>
      <c r="M258" t="str">
        <f>IF($L258=1,SUM($L$2:L258),"")</f>
        <v/>
      </c>
      <c r="N258">
        <f t="shared" ref="N258:N321" si="26">$A258*$B258*$C258</f>
        <v>0</v>
      </c>
      <c r="O258">
        <f>IF(AND($N258=1,'All Data'!$E258&lt;&gt;"",COUNTIFS($N$2:N257,1,'All Data'!$E$2:$E257,'All Data'!$E258)=0),1,0)</f>
        <v>0</v>
      </c>
      <c r="P258" t="str">
        <f>IF($O258=1,SUM($O$2:O258),"")</f>
        <v/>
      </c>
      <c r="Q258">
        <f t="shared" ref="Q258:Q321" si="27">$A258*$B258*$C258*$D258</f>
        <v>0</v>
      </c>
      <c r="R258">
        <f>IF(AND($Q258=1,'All Data'!$F258&lt;&gt;"",COUNTIFS($Q$2:Q257,1,'All Data'!$F$2:$F257,'All Data'!$F258)=0),1,0)</f>
        <v>0</v>
      </c>
      <c r="S258" t="str">
        <f>IF($R258=1,SUM($R$2:R258),"")</f>
        <v/>
      </c>
      <c r="T258">
        <f t="shared" ref="T258:T321" si="28">$A258*$B258*$C258*$D258*$E258</f>
        <v>0</v>
      </c>
      <c r="U258">
        <f>IF(AND($T258=1,'All Data'!$G258&lt;&gt;"",COUNTIFS($T$2:T257,1,'All Data'!$G$2:$G257,'All Data'!$G258)=0),1,0)</f>
        <v>0</v>
      </c>
      <c r="V258" t="str">
        <f>IF($U258=1,SUM($U$2:U258),"")</f>
        <v/>
      </c>
      <c r="W258">
        <f t="shared" ref="W258:W321" si="29">$A258*$B258*$C258*$D258*$E258*$F258*$G258</f>
        <v>0</v>
      </c>
      <c r="X258" t="str">
        <f>IF($W258=1,SUM($W$2:W258),"")</f>
        <v/>
      </c>
    </row>
    <row r="259" spans="1:24" x14ac:dyDescent="0.3">
      <c r="A259">
        <f>IF(OR($BA1="Any",$BA1=""),1,IF('All Data'!$B259=$BA1,1,0))</f>
        <v>0</v>
      </c>
      <c r="B259">
        <f>IF(OR($BA2="Any",$BA2=""),1,IF('All Data'!$C259=$BA2,1,0))</f>
        <v>1</v>
      </c>
      <c r="C259">
        <f>IF(OR($BA3="Any",$BA3=""),1,IF('All Data'!$D259=$BA3,1,0))</f>
        <v>1</v>
      </c>
      <c r="D259">
        <f>IF(OR($BA4="Any",$BA4=""),1,IF('All Data'!$E259=$BA4,1,0))</f>
        <v>1</v>
      </c>
      <c r="E259">
        <f>IF(OR($BA5="Any",$BA5=""),1,IF('All Data'!$F259=$BA5,1,0))</f>
        <v>1</v>
      </c>
      <c r="F259">
        <f>IF(OR($BA6="Any",$BA6=""),1,IF('All Data'!$G259=$BA6,1,0))</f>
        <v>1</v>
      </c>
      <c r="G259">
        <f>IF(AND(OR($BA$8="",ISNUMBER(SEARCH($BA$8,'All Data'!$K259&amp;" "&amp;'All Data'!$M259))),OR($BA$9="",ISNUMBER(SEARCH($BA$9,'All Data'!$K259&amp;" "&amp;'All Data'!$M259))),OR($BA$10="",ISNUMBER(SEARCH($BA$10,'All Data'!$K259&amp;" "&amp;'All Data'!$M259))),OR($BA$11="",ISNUMBER(SEARCH($BA$11,'All Data'!$K259&amp;" "&amp;'All Data'!$M259))),OR($BA$12="",ISNUMBER(SEARCH($BA$12,'All Data'!$K259&amp;" "&amp;'All Data'!$M259))),OR($BA$13="",ISNUMBER(SEARCH($BA$13,'All Data'!$K259&amp;" "&amp;'All Data'!$M259))),OR($BA$14="",ISNUMBER(SEARCH($BA$14,'All Data'!$K259&amp;" "&amp;'All Data'!$M259))),OR($BA$15="",ISNUMBER(SEARCH($BA$15,'All Data'!$K259&amp;" "&amp;'All Data'!$M259)))),1,0)</f>
        <v>1</v>
      </c>
      <c r="H259">
        <f t="shared" si="24"/>
        <v>0</v>
      </c>
      <c r="I259">
        <f>IF(AND($H259=1,'All Data'!$C259&lt;&gt;"",COUNTIFS($H$2:H258,1,'All Data'!$C$2:$C258,'All Data'!$C259)=0),1,0)</f>
        <v>0</v>
      </c>
      <c r="J259" t="str">
        <f>IF($I259=1,SUM($I$2:I259),"")</f>
        <v/>
      </c>
      <c r="K259">
        <f t="shared" si="25"/>
        <v>0</v>
      </c>
      <c r="L259">
        <f>IF(AND($K259=1,'All Data'!$D259&lt;&gt;"",COUNTIFS($K$2:K258,1,'All Data'!$D$2:$D258,'All Data'!$D259)=0),1,0)</f>
        <v>0</v>
      </c>
      <c r="M259" t="str">
        <f>IF($L259=1,SUM($L$2:L259),"")</f>
        <v/>
      </c>
      <c r="N259">
        <f t="shared" si="26"/>
        <v>0</v>
      </c>
      <c r="O259">
        <f>IF(AND($N259=1,'All Data'!$E259&lt;&gt;"",COUNTIFS($N$2:N258,1,'All Data'!$E$2:$E258,'All Data'!$E259)=0),1,0)</f>
        <v>0</v>
      </c>
      <c r="P259" t="str">
        <f>IF($O259=1,SUM($O$2:O259),"")</f>
        <v/>
      </c>
      <c r="Q259">
        <f t="shared" si="27"/>
        <v>0</v>
      </c>
      <c r="R259">
        <f>IF(AND($Q259=1,'All Data'!$F259&lt;&gt;"",COUNTIFS($Q$2:Q258,1,'All Data'!$F$2:$F258,'All Data'!$F259)=0),1,0)</f>
        <v>0</v>
      </c>
      <c r="S259" t="str">
        <f>IF($R259=1,SUM($R$2:R259),"")</f>
        <v/>
      </c>
      <c r="T259">
        <f t="shared" si="28"/>
        <v>0</v>
      </c>
      <c r="U259">
        <f>IF(AND($T259=1,'All Data'!$G259&lt;&gt;"",COUNTIFS($T$2:T258,1,'All Data'!$G$2:$G258,'All Data'!$G259)=0),1,0)</f>
        <v>0</v>
      </c>
      <c r="V259" t="str">
        <f>IF($U259=1,SUM($U$2:U259),"")</f>
        <v/>
      </c>
      <c r="W259">
        <f t="shared" si="29"/>
        <v>0</v>
      </c>
      <c r="X259" t="str">
        <f>IF($W259=1,SUM($W$2:W259),"")</f>
        <v/>
      </c>
    </row>
    <row r="260" spans="1:24" x14ac:dyDescent="0.3">
      <c r="A260">
        <f>IF(OR($BA1="Any",$BA1=""),1,IF('All Data'!$B260=$BA1,1,0))</f>
        <v>0</v>
      </c>
      <c r="B260">
        <f>IF(OR($BA2="Any",$BA2=""),1,IF('All Data'!$C260=$BA2,1,0))</f>
        <v>1</v>
      </c>
      <c r="C260">
        <f>IF(OR($BA3="Any",$BA3=""),1,IF('All Data'!$D260=$BA3,1,0))</f>
        <v>1</v>
      </c>
      <c r="D260">
        <f>IF(OR($BA4="Any",$BA4=""),1,IF('All Data'!$E260=$BA4,1,0))</f>
        <v>1</v>
      </c>
      <c r="E260">
        <f>IF(OR($BA5="Any",$BA5=""),1,IF('All Data'!$F260=$BA5,1,0))</f>
        <v>1</v>
      </c>
      <c r="F260">
        <f>IF(OR($BA6="Any",$BA6=""),1,IF('All Data'!$G260=$BA6,1,0))</f>
        <v>0</v>
      </c>
      <c r="G260">
        <f>IF(AND(OR($BA$8="",ISNUMBER(SEARCH($BA$8,'All Data'!$K260&amp;" "&amp;'All Data'!$M260))),OR($BA$9="",ISNUMBER(SEARCH($BA$9,'All Data'!$K260&amp;" "&amp;'All Data'!$M260))),OR($BA$10="",ISNUMBER(SEARCH($BA$10,'All Data'!$K260&amp;" "&amp;'All Data'!$M260))),OR($BA$11="",ISNUMBER(SEARCH($BA$11,'All Data'!$K260&amp;" "&amp;'All Data'!$M260))),OR($BA$12="",ISNUMBER(SEARCH($BA$12,'All Data'!$K260&amp;" "&amp;'All Data'!$M260))),OR($BA$13="",ISNUMBER(SEARCH($BA$13,'All Data'!$K260&amp;" "&amp;'All Data'!$M260))),OR($BA$14="",ISNUMBER(SEARCH($BA$14,'All Data'!$K260&amp;" "&amp;'All Data'!$M260))),OR($BA$15="",ISNUMBER(SEARCH($BA$15,'All Data'!$K260&amp;" "&amp;'All Data'!$M260)))),1,0)</f>
        <v>1</v>
      </c>
      <c r="H260">
        <f t="shared" si="24"/>
        <v>0</v>
      </c>
      <c r="I260">
        <f>IF(AND($H260=1,'All Data'!$C260&lt;&gt;"",COUNTIFS($H$2:H259,1,'All Data'!$C$2:$C259,'All Data'!$C260)=0),1,0)</f>
        <v>0</v>
      </c>
      <c r="J260" t="str">
        <f>IF($I260=1,SUM($I$2:I260),"")</f>
        <v/>
      </c>
      <c r="K260">
        <f t="shared" si="25"/>
        <v>0</v>
      </c>
      <c r="L260">
        <f>IF(AND($K260=1,'All Data'!$D260&lt;&gt;"",COUNTIFS($K$2:K259,1,'All Data'!$D$2:$D259,'All Data'!$D260)=0),1,0)</f>
        <v>0</v>
      </c>
      <c r="M260" t="str">
        <f>IF($L260=1,SUM($L$2:L260),"")</f>
        <v/>
      </c>
      <c r="N260">
        <f t="shared" si="26"/>
        <v>0</v>
      </c>
      <c r="O260">
        <f>IF(AND($N260=1,'All Data'!$E260&lt;&gt;"",COUNTIFS($N$2:N259,1,'All Data'!$E$2:$E259,'All Data'!$E260)=0),1,0)</f>
        <v>0</v>
      </c>
      <c r="P260" t="str">
        <f>IF($O260=1,SUM($O$2:O260),"")</f>
        <v/>
      </c>
      <c r="Q260">
        <f t="shared" si="27"/>
        <v>0</v>
      </c>
      <c r="R260">
        <f>IF(AND($Q260=1,'All Data'!$F260&lt;&gt;"",COUNTIFS($Q$2:Q259,1,'All Data'!$F$2:$F259,'All Data'!$F260)=0),1,0)</f>
        <v>0</v>
      </c>
      <c r="S260" t="str">
        <f>IF($R260=1,SUM($R$2:R260),"")</f>
        <v/>
      </c>
      <c r="T260">
        <f t="shared" si="28"/>
        <v>0</v>
      </c>
      <c r="U260">
        <f>IF(AND($T260=1,'All Data'!$G260&lt;&gt;"",COUNTIFS($T$2:T259,1,'All Data'!$G$2:$G259,'All Data'!$G260)=0),1,0)</f>
        <v>0</v>
      </c>
      <c r="V260" t="str">
        <f>IF($U260=1,SUM($U$2:U260),"")</f>
        <v/>
      </c>
      <c r="W260">
        <f t="shared" si="29"/>
        <v>0</v>
      </c>
      <c r="X260" t="str">
        <f>IF($W260=1,SUM($W$2:W260),"")</f>
        <v/>
      </c>
    </row>
    <row r="261" spans="1:24" x14ac:dyDescent="0.3">
      <c r="A261">
        <f>IF(OR($BA1="Any",$BA1=""),1,IF('All Data'!$B261=$BA1,1,0))</f>
        <v>0</v>
      </c>
      <c r="B261">
        <f>IF(OR($BA2="Any",$BA2=""),1,IF('All Data'!$C261=$BA2,1,0))</f>
        <v>1</v>
      </c>
      <c r="C261">
        <f>IF(OR($BA3="Any",$BA3=""),1,IF('All Data'!$D261=$BA3,1,0))</f>
        <v>1</v>
      </c>
      <c r="D261">
        <f>IF(OR($BA4="Any",$BA4=""),1,IF('All Data'!$E261=$BA4,1,0))</f>
        <v>1</v>
      </c>
      <c r="E261">
        <f>IF(OR($BA5="Any",$BA5=""),1,IF('All Data'!$F261=$BA5,1,0))</f>
        <v>1</v>
      </c>
      <c r="F261">
        <f>IF(OR($BA6="Any",$BA6=""),1,IF('All Data'!$G261=$BA6,1,0))</f>
        <v>0</v>
      </c>
      <c r="G261">
        <f>IF(AND(OR($BA$8="",ISNUMBER(SEARCH($BA$8,'All Data'!$K261&amp;" "&amp;'All Data'!$M261))),OR($BA$9="",ISNUMBER(SEARCH($BA$9,'All Data'!$K261&amp;" "&amp;'All Data'!$M261))),OR($BA$10="",ISNUMBER(SEARCH($BA$10,'All Data'!$K261&amp;" "&amp;'All Data'!$M261))),OR($BA$11="",ISNUMBER(SEARCH($BA$11,'All Data'!$K261&amp;" "&amp;'All Data'!$M261))),OR($BA$12="",ISNUMBER(SEARCH($BA$12,'All Data'!$K261&amp;" "&amp;'All Data'!$M261))),OR($BA$13="",ISNUMBER(SEARCH($BA$13,'All Data'!$K261&amp;" "&amp;'All Data'!$M261))),OR($BA$14="",ISNUMBER(SEARCH($BA$14,'All Data'!$K261&amp;" "&amp;'All Data'!$M261))),OR($BA$15="",ISNUMBER(SEARCH($BA$15,'All Data'!$K261&amp;" "&amp;'All Data'!$M261)))),1,0)</f>
        <v>1</v>
      </c>
      <c r="H261">
        <f t="shared" si="24"/>
        <v>0</v>
      </c>
      <c r="I261">
        <f>IF(AND($H261=1,'All Data'!$C261&lt;&gt;"",COUNTIFS($H$2:H260,1,'All Data'!$C$2:$C260,'All Data'!$C261)=0),1,0)</f>
        <v>0</v>
      </c>
      <c r="J261" t="str">
        <f>IF($I261=1,SUM($I$2:I261),"")</f>
        <v/>
      </c>
      <c r="K261">
        <f t="shared" si="25"/>
        <v>0</v>
      </c>
      <c r="L261">
        <f>IF(AND($K261=1,'All Data'!$D261&lt;&gt;"",COUNTIFS($K$2:K260,1,'All Data'!$D$2:$D260,'All Data'!$D261)=0),1,0)</f>
        <v>0</v>
      </c>
      <c r="M261" t="str">
        <f>IF($L261=1,SUM($L$2:L261),"")</f>
        <v/>
      </c>
      <c r="N261">
        <f t="shared" si="26"/>
        <v>0</v>
      </c>
      <c r="O261">
        <f>IF(AND($N261=1,'All Data'!$E261&lt;&gt;"",COUNTIFS($N$2:N260,1,'All Data'!$E$2:$E260,'All Data'!$E261)=0),1,0)</f>
        <v>0</v>
      </c>
      <c r="P261" t="str">
        <f>IF($O261=1,SUM($O$2:O261),"")</f>
        <v/>
      </c>
      <c r="Q261">
        <f t="shared" si="27"/>
        <v>0</v>
      </c>
      <c r="R261">
        <f>IF(AND($Q261=1,'All Data'!$F261&lt;&gt;"",COUNTIFS($Q$2:Q260,1,'All Data'!$F$2:$F260,'All Data'!$F261)=0),1,0)</f>
        <v>0</v>
      </c>
      <c r="S261" t="str">
        <f>IF($R261=1,SUM($R$2:R261),"")</f>
        <v/>
      </c>
      <c r="T261">
        <f t="shared" si="28"/>
        <v>0</v>
      </c>
      <c r="U261">
        <f>IF(AND($T261=1,'All Data'!$G261&lt;&gt;"",COUNTIFS($T$2:T260,1,'All Data'!$G$2:$G260,'All Data'!$G261)=0),1,0)</f>
        <v>0</v>
      </c>
      <c r="V261" t="str">
        <f>IF($U261=1,SUM($U$2:U261),"")</f>
        <v/>
      </c>
      <c r="W261">
        <f t="shared" si="29"/>
        <v>0</v>
      </c>
      <c r="X261" t="str">
        <f>IF($W261=1,SUM($W$2:W261),"")</f>
        <v/>
      </c>
    </row>
    <row r="262" spans="1:24" x14ac:dyDescent="0.3">
      <c r="A262">
        <f>IF(OR($BA1="Any",$BA1=""),1,IF('All Data'!$B262=$BA1,1,0))</f>
        <v>0</v>
      </c>
      <c r="B262">
        <f>IF(OR($BA2="Any",$BA2=""),1,IF('All Data'!$C262=$BA2,1,0))</f>
        <v>1</v>
      </c>
      <c r="C262">
        <f>IF(OR($BA3="Any",$BA3=""),1,IF('All Data'!$D262=$BA3,1,0))</f>
        <v>1</v>
      </c>
      <c r="D262">
        <f>IF(OR($BA4="Any",$BA4=""),1,IF('All Data'!$E262=$BA4,1,0))</f>
        <v>1</v>
      </c>
      <c r="E262">
        <f>IF(OR($BA5="Any",$BA5=""),1,IF('All Data'!$F262=$BA5,1,0))</f>
        <v>1</v>
      </c>
      <c r="F262">
        <f>IF(OR($BA6="Any",$BA6=""),1,IF('All Data'!$G262=$BA6,1,0))</f>
        <v>0</v>
      </c>
      <c r="G262">
        <f>IF(AND(OR($BA$8="",ISNUMBER(SEARCH($BA$8,'All Data'!$K262&amp;" "&amp;'All Data'!$M262))),OR($BA$9="",ISNUMBER(SEARCH($BA$9,'All Data'!$K262&amp;" "&amp;'All Data'!$M262))),OR($BA$10="",ISNUMBER(SEARCH($BA$10,'All Data'!$K262&amp;" "&amp;'All Data'!$M262))),OR($BA$11="",ISNUMBER(SEARCH($BA$11,'All Data'!$K262&amp;" "&amp;'All Data'!$M262))),OR($BA$12="",ISNUMBER(SEARCH($BA$12,'All Data'!$K262&amp;" "&amp;'All Data'!$M262))),OR($BA$13="",ISNUMBER(SEARCH($BA$13,'All Data'!$K262&amp;" "&amp;'All Data'!$M262))),OR($BA$14="",ISNUMBER(SEARCH($BA$14,'All Data'!$K262&amp;" "&amp;'All Data'!$M262))),OR($BA$15="",ISNUMBER(SEARCH($BA$15,'All Data'!$K262&amp;" "&amp;'All Data'!$M262)))),1,0)</f>
        <v>1</v>
      </c>
      <c r="H262">
        <f t="shared" si="24"/>
        <v>0</v>
      </c>
      <c r="I262">
        <f>IF(AND($H262=1,'All Data'!$C262&lt;&gt;"",COUNTIFS($H$2:H261,1,'All Data'!$C$2:$C261,'All Data'!$C262)=0),1,0)</f>
        <v>0</v>
      </c>
      <c r="J262" t="str">
        <f>IF($I262=1,SUM($I$2:I262),"")</f>
        <v/>
      </c>
      <c r="K262">
        <f t="shared" si="25"/>
        <v>0</v>
      </c>
      <c r="L262">
        <f>IF(AND($K262=1,'All Data'!$D262&lt;&gt;"",COUNTIFS($K$2:K261,1,'All Data'!$D$2:$D261,'All Data'!$D262)=0),1,0)</f>
        <v>0</v>
      </c>
      <c r="M262" t="str">
        <f>IF($L262=1,SUM($L$2:L262),"")</f>
        <v/>
      </c>
      <c r="N262">
        <f t="shared" si="26"/>
        <v>0</v>
      </c>
      <c r="O262">
        <f>IF(AND($N262=1,'All Data'!$E262&lt;&gt;"",COUNTIFS($N$2:N261,1,'All Data'!$E$2:$E261,'All Data'!$E262)=0),1,0)</f>
        <v>0</v>
      </c>
      <c r="P262" t="str">
        <f>IF($O262=1,SUM($O$2:O262),"")</f>
        <v/>
      </c>
      <c r="Q262">
        <f t="shared" si="27"/>
        <v>0</v>
      </c>
      <c r="R262">
        <f>IF(AND($Q262=1,'All Data'!$F262&lt;&gt;"",COUNTIFS($Q$2:Q261,1,'All Data'!$F$2:$F261,'All Data'!$F262)=0),1,0)</f>
        <v>0</v>
      </c>
      <c r="S262" t="str">
        <f>IF($R262=1,SUM($R$2:R262),"")</f>
        <v/>
      </c>
      <c r="T262">
        <f t="shared" si="28"/>
        <v>0</v>
      </c>
      <c r="U262">
        <f>IF(AND($T262=1,'All Data'!$G262&lt;&gt;"",COUNTIFS($T$2:T261,1,'All Data'!$G$2:$G261,'All Data'!$G262)=0),1,0)</f>
        <v>0</v>
      </c>
      <c r="V262" t="str">
        <f>IF($U262=1,SUM($U$2:U262),"")</f>
        <v/>
      </c>
      <c r="W262">
        <f t="shared" si="29"/>
        <v>0</v>
      </c>
      <c r="X262" t="str">
        <f>IF($W262=1,SUM($W$2:W262),"")</f>
        <v/>
      </c>
    </row>
    <row r="263" spans="1:24" x14ac:dyDescent="0.3">
      <c r="A263">
        <f>IF(OR($BA1="Any",$BA1=""),1,IF('All Data'!$B263=$BA1,1,0))</f>
        <v>0</v>
      </c>
      <c r="B263">
        <f>IF(OR($BA2="Any",$BA2=""),1,IF('All Data'!$C263=$BA2,1,0))</f>
        <v>1</v>
      </c>
      <c r="C263">
        <f>IF(OR($BA3="Any",$BA3=""),1,IF('All Data'!$D263=$BA3,1,0))</f>
        <v>1</v>
      </c>
      <c r="D263">
        <f>IF(OR($BA4="Any",$BA4=""),1,IF('All Data'!$E263=$BA4,1,0))</f>
        <v>1</v>
      </c>
      <c r="E263">
        <f>IF(OR($BA5="Any",$BA5=""),1,IF('All Data'!$F263=$BA5,1,0))</f>
        <v>1</v>
      </c>
      <c r="F263">
        <f>IF(OR($BA6="Any",$BA6=""),1,IF('All Data'!$G263=$BA6,1,0))</f>
        <v>0</v>
      </c>
      <c r="G263">
        <f>IF(AND(OR($BA$8="",ISNUMBER(SEARCH($BA$8,'All Data'!$K263&amp;" "&amp;'All Data'!$M263))),OR($BA$9="",ISNUMBER(SEARCH($BA$9,'All Data'!$K263&amp;" "&amp;'All Data'!$M263))),OR($BA$10="",ISNUMBER(SEARCH($BA$10,'All Data'!$K263&amp;" "&amp;'All Data'!$M263))),OR($BA$11="",ISNUMBER(SEARCH($BA$11,'All Data'!$K263&amp;" "&amp;'All Data'!$M263))),OR($BA$12="",ISNUMBER(SEARCH($BA$12,'All Data'!$K263&amp;" "&amp;'All Data'!$M263))),OR($BA$13="",ISNUMBER(SEARCH($BA$13,'All Data'!$K263&amp;" "&amp;'All Data'!$M263))),OR($BA$14="",ISNUMBER(SEARCH($BA$14,'All Data'!$K263&amp;" "&amp;'All Data'!$M263))),OR($BA$15="",ISNUMBER(SEARCH($BA$15,'All Data'!$K263&amp;" "&amp;'All Data'!$M263)))),1,0)</f>
        <v>1</v>
      </c>
      <c r="H263">
        <f t="shared" si="24"/>
        <v>0</v>
      </c>
      <c r="I263">
        <f>IF(AND($H263=1,'All Data'!$C263&lt;&gt;"",COUNTIFS($H$2:H262,1,'All Data'!$C$2:$C262,'All Data'!$C263)=0),1,0)</f>
        <v>0</v>
      </c>
      <c r="J263" t="str">
        <f>IF($I263=1,SUM($I$2:I263),"")</f>
        <v/>
      </c>
      <c r="K263">
        <f t="shared" si="25"/>
        <v>0</v>
      </c>
      <c r="L263">
        <f>IF(AND($K263=1,'All Data'!$D263&lt;&gt;"",COUNTIFS($K$2:K262,1,'All Data'!$D$2:$D262,'All Data'!$D263)=0),1,0)</f>
        <v>0</v>
      </c>
      <c r="M263" t="str">
        <f>IF($L263=1,SUM($L$2:L263),"")</f>
        <v/>
      </c>
      <c r="N263">
        <f t="shared" si="26"/>
        <v>0</v>
      </c>
      <c r="O263">
        <f>IF(AND($N263=1,'All Data'!$E263&lt;&gt;"",COUNTIFS($N$2:N262,1,'All Data'!$E$2:$E262,'All Data'!$E263)=0),1,0)</f>
        <v>0</v>
      </c>
      <c r="P263" t="str">
        <f>IF($O263=1,SUM($O$2:O263),"")</f>
        <v/>
      </c>
      <c r="Q263">
        <f t="shared" si="27"/>
        <v>0</v>
      </c>
      <c r="R263">
        <f>IF(AND($Q263=1,'All Data'!$F263&lt;&gt;"",COUNTIFS($Q$2:Q262,1,'All Data'!$F$2:$F262,'All Data'!$F263)=0),1,0)</f>
        <v>0</v>
      </c>
      <c r="S263" t="str">
        <f>IF($R263=1,SUM($R$2:R263),"")</f>
        <v/>
      </c>
      <c r="T263">
        <f t="shared" si="28"/>
        <v>0</v>
      </c>
      <c r="U263">
        <f>IF(AND($T263=1,'All Data'!$G263&lt;&gt;"",COUNTIFS($T$2:T262,1,'All Data'!$G$2:$G262,'All Data'!$G263)=0),1,0)</f>
        <v>0</v>
      </c>
      <c r="V263" t="str">
        <f>IF($U263=1,SUM($U$2:U263),"")</f>
        <v/>
      </c>
      <c r="W263">
        <f t="shared" si="29"/>
        <v>0</v>
      </c>
      <c r="X263" t="str">
        <f>IF($W263=1,SUM($W$2:W263),"")</f>
        <v/>
      </c>
    </row>
    <row r="264" spans="1:24" x14ac:dyDescent="0.3">
      <c r="A264">
        <f>IF(OR($BA1="Any",$BA1=""),1,IF('All Data'!$B264=$BA1,1,0))</f>
        <v>0</v>
      </c>
      <c r="B264">
        <f>IF(OR($BA2="Any",$BA2=""),1,IF('All Data'!$C264=$BA2,1,0))</f>
        <v>1</v>
      </c>
      <c r="C264">
        <f>IF(OR($BA3="Any",$BA3=""),1,IF('All Data'!$D264=$BA3,1,0))</f>
        <v>1</v>
      </c>
      <c r="D264">
        <f>IF(OR($BA4="Any",$BA4=""),1,IF('All Data'!$E264=$BA4,1,0))</f>
        <v>1</v>
      </c>
      <c r="E264">
        <f>IF(OR($BA5="Any",$BA5=""),1,IF('All Data'!$F264=$BA5,1,0))</f>
        <v>1</v>
      </c>
      <c r="F264">
        <f>IF(OR($BA6="Any",$BA6=""),1,IF('All Data'!$G264=$BA6,1,0))</f>
        <v>0</v>
      </c>
      <c r="G264">
        <f>IF(AND(OR($BA$8="",ISNUMBER(SEARCH($BA$8,'All Data'!$K264&amp;" "&amp;'All Data'!$M264))),OR($BA$9="",ISNUMBER(SEARCH($BA$9,'All Data'!$K264&amp;" "&amp;'All Data'!$M264))),OR($BA$10="",ISNUMBER(SEARCH($BA$10,'All Data'!$K264&amp;" "&amp;'All Data'!$M264))),OR($BA$11="",ISNUMBER(SEARCH($BA$11,'All Data'!$K264&amp;" "&amp;'All Data'!$M264))),OR($BA$12="",ISNUMBER(SEARCH($BA$12,'All Data'!$K264&amp;" "&amp;'All Data'!$M264))),OR($BA$13="",ISNUMBER(SEARCH($BA$13,'All Data'!$K264&amp;" "&amp;'All Data'!$M264))),OR($BA$14="",ISNUMBER(SEARCH($BA$14,'All Data'!$K264&amp;" "&amp;'All Data'!$M264))),OR($BA$15="",ISNUMBER(SEARCH($BA$15,'All Data'!$K264&amp;" "&amp;'All Data'!$M264)))),1,0)</f>
        <v>1</v>
      </c>
      <c r="H264">
        <f t="shared" si="24"/>
        <v>0</v>
      </c>
      <c r="I264">
        <f>IF(AND($H264=1,'All Data'!$C264&lt;&gt;"",COUNTIFS($H$2:H263,1,'All Data'!$C$2:$C263,'All Data'!$C264)=0),1,0)</f>
        <v>0</v>
      </c>
      <c r="J264" t="str">
        <f>IF($I264=1,SUM($I$2:I264),"")</f>
        <v/>
      </c>
      <c r="K264">
        <f t="shared" si="25"/>
        <v>0</v>
      </c>
      <c r="L264">
        <f>IF(AND($K264=1,'All Data'!$D264&lt;&gt;"",COUNTIFS($K$2:K263,1,'All Data'!$D$2:$D263,'All Data'!$D264)=0),1,0)</f>
        <v>0</v>
      </c>
      <c r="M264" t="str">
        <f>IF($L264=1,SUM($L$2:L264),"")</f>
        <v/>
      </c>
      <c r="N264">
        <f t="shared" si="26"/>
        <v>0</v>
      </c>
      <c r="O264">
        <f>IF(AND($N264=1,'All Data'!$E264&lt;&gt;"",COUNTIFS($N$2:N263,1,'All Data'!$E$2:$E263,'All Data'!$E264)=0),1,0)</f>
        <v>0</v>
      </c>
      <c r="P264" t="str">
        <f>IF($O264=1,SUM($O$2:O264),"")</f>
        <v/>
      </c>
      <c r="Q264">
        <f t="shared" si="27"/>
        <v>0</v>
      </c>
      <c r="R264">
        <f>IF(AND($Q264=1,'All Data'!$F264&lt;&gt;"",COUNTIFS($Q$2:Q263,1,'All Data'!$F$2:$F263,'All Data'!$F264)=0),1,0)</f>
        <v>0</v>
      </c>
      <c r="S264" t="str">
        <f>IF($R264=1,SUM($R$2:R264),"")</f>
        <v/>
      </c>
      <c r="T264">
        <f t="shared" si="28"/>
        <v>0</v>
      </c>
      <c r="U264">
        <f>IF(AND($T264=1,'All Data'!$G264&lt;&gt;"",COUNTIFS($T$2:T263,1,'All Data'!$G$2:$G263,'All Data'!$G264)=0),1,0)</f>
        <v>0</v>
      </c>
      <c r="V264" t="str">
        <f>IF($U264=1,SUM($U$2:U264),"")</f>
        <v/>
      </c>
      <c r="W264">
        <f t="shared" si="29"/>
        <v>0</v>
      </c>
      <c r="X264" t="str">
        <f>IF($W264=1,SUM($W$2:W264),"")</f>
        <v/>
      </c>
    </row>
    <row r="265" spans="1:24" x14ac:dyDescent="0.3">
      <c r="A265">
        <f>IF(OR($BA1="Any",$BA1=""),1,IF('All Data'!$B265=$BA1,1,0))</f>
        <v>0</v>
      </c>
      <c r="B265">
        <f>IF(OR($BA2="Any",$BA2=""),1,IF('All Data'!$C265=$BA2,1,0))</f>
        <v>1</v>
      </c>
      <c r="C265">
        <f>IF(OR($BA3="Any",$BA3=""),1,IF('All Data'!$D265=$BA3,1,0))</f>
        <v>1</v>
      </c>
      <c r="D265">
        <f>IF(OR($BA4="Any",$BA4=""),1,IF('All Data'!$E265=$BA4,1,0))</f>
        <v>1</v>
      </c>
      <c r="E265">
        <f>IF(OR($BA5="Any",$BA5=""),1,IF('All Data'!$F265=$BA5,1,0))</f>
        <v>1</v>
      </c>
      <c r="F265">
        <f>IF(OR($BA6="Any",$BA6=""),1,IF('All Data'!$G265=$BA6,1,0))</f>
        <v>0</v>
      </c>
      <c r="G265">
        <f>IF(AND(OR($BA$8="",ISNUMBER(SEARCH($BA$8,'All Data'!$K265&amp;" "&amp;'All Data'!$M265))),OR($BA$9="",ISNUMBER(SEARCH($BA$9,'All Data'!$K265&amp;" "&amp;'All Data'!$M265))),OR($BA$10="",ISNUMBER(SEARCH($BA$10,'All Data'!$K265&amp;" "&amp;'All Data'!$M265))),OR($BA$11="",ISNUMBER(SEARCH($BA$11,'All Data'!$K265&amp;" "&amp;'All Data'!$M265))),OR($BA$12="",ISNUMBER(SEARCH($BA$12,'All Data'!$K265&amp;" "&amp;'All Data'!$M265))),OR($BA$13="",ISNUMBER(SEARCH($BA$13,'All Data'!$K265&amp;" "&amp;'All Data'!$M265))),OR($BA$14="",ISNUMBER(SEARCH($BA$14,'All Data'!$K265&amp;" "&amp;'All Data'!$M265))),OR($BA$15="",ISNUMBER(SEARCH($BA$15,'All Data'!$K265&amp;" "&amp;'All Data'!$M265)))),1,0)</f>
        <v>1</v>
      </c>
      <c r="H265">
        <f t="shared" si="24"/>
        <v>0</v>
      </c>
      <c r="I265">
        <f>IF(AND($H265=1,'All Data'!$C265&lt;&gt;"",COUNTIFS($H$2:H264,1,'All Data'!$C$2:$C264,'All Data'!$C265)=0),1,0)</f>
        <v>0</v>
      </c>
      <c r="J265" t="str">
        <f>IF($I265=1,SUM($I$2:I265),"")</f>
        <v/>
      </c>
      <c r="K265">
        <f t="shared" si="25"/>
        <v>0</v>
      </c>
      <c r="L265">
        <f>IF(AND($K265=1,'All Data'!$D265&lt;&gt;"",COUNTIFS($K$2:K264,1,'All Data'!$D$2:$D264,'All Data'!$D265)=0),1,0)</f>
        <v>0</v>
      </c>
      <c r="M265" t="str">
        <f>IF($L265=1,SUM($L$2:L265),"")</f>
        <v/>
      </c>
      <c r="N265">
        <f t="shared" si="26"/>
        <v>0</v>
      </c>
      <c r="O265">
        <f>IF(AND($N265=1,'All Data'!$E265&lt;&gt;"",COUNTIFS($N$2:N264,1,'All Data'!$E$2:$E264,'All Data'!$E265)=0),1,0)</f>
        <v>0</v>
      </c>
      <c r="P265" t="str">
        <f>IF($O265=1,SUM($O$2:O265),"")</f>
        <v/>
      </c>
      <c r="Q265">
        <f t="shared" si="27"/>
        <v>0</v>
      </c>
      <c r="R265">
        <f>IF(AND($Q265=1,'All Data'!$F265&lt;&gt;"",COUNTIFS($Q$2:Q264,1,'All Data'!$F$2:$F264,'All Data'!$F265)=0),1,0)</f>
        <v>0</v>
      </c>
      <c r="S265" t="str">
        <f>IF($R265=1,SUM($R$2:R265),"")</f>
        <v/>
      </c>
      <c r="T265">
        <f t="shared" si="28"/>
        <v>0</v>
      </c>
      <c r="U265">
        <f>IF(AND($T265=1,'All Data'!$G265&lt;&gt;"",COUNTIFS($T$2:T264,1,'All Data'!$G$2:$G264,'All Data'!$G265)=0),1,0)</f>
        <v>0</v>
      </c>
      <c r="V265" t="str">
        <f>IF($U265=1,SUM($U$2:U265),"")</f>
        <v/>
      </c>
      <c r="W265">
        <f t="shared" si="29"/>
        <v>0</v>
      </c>
      <c r="X265" t="str">
        <f>IF($W265=1,SUM($W$2:W265),"")</f>
        <v/>
      </c>
    </row>
    <row r="266" spans="1:24" x14ac:dyDescent="0.3">
      <c r="A266">
        <f>IF(OR($BA1="Any",$BA1=""),1,IF('All Data'!$B266=$BA1,1,0))</f>
        <v>0</v>
      </c>
      <c r="B266">
        <f>IF(OR($BA2="Any",$BA2=""),1,IF('All Data'!$C266=$BA2,1,0))</f>
        <v>1</v>
      </c>
      <c r="C266">
        <f>IF(OR($BA3="Any",$BA3=""),1,IF('All Data'!$D266=$BA3,1,0))</f>
        <v>1</v>
      </c>
      <c r="D266">
        <f>IF(OR($BA4="Any",$BA4=""),1,IF('All Data'!$E266=$BA4,1,0))</f>
        <v>1</v>
      </c>
      <c r="E266">
        <f>IF(OR($BA5="Any",$BA5=""),1,IF('All Data'!$F266=$BA5,1,0))</f>
        <v>1</v>
      </c>
      <c r="F266">
        <f>IF(OR($BA6="Any",$BA6=""),1,IF('All Data'!$G266=$BA6,1,0))</f>
        <v>0</v>
      </c>
      <c r="G266">
        <f>IF(AND(OR($BA$8="",ISNUMBER(SEARCH($BA$8,'All Data'!$K266&amp;" "&amp;'All Data'!$M266))),OR($BA$9="",ISNUMBER(SEARCH($BA$9,'All Data'!$K266&amp;" "&amp;'All Data'!$M266))),OR($BA$10="",ISNUMBER(SEARCH($BA$10,'All Data'!$K266&amp;" "&amp;'All Data'!$M266))),OR($BA$11="",ISNUMBER(SEARCH($BA$11,'All Data'!$K266&amp;" "&amp;'All Data'!$M266))),OR($BA$12="",ISNUMBER(SEARCH($BA$12,'All Data'!$K266&amp;" "&amp;'All Data'!$M266))),OR($BA$13="",ISNUMBER(SEARCH($BA$13,'All Data'!$K266&amp;" "&amp;'All Data'!$M266))),OR($BA$14="",ISNUMBER(SEARCH($BA$14,'All Data'!$K266&amp;" "&amp;'All Data'!$M266))),OR($BA$15="",ISNUMBER(SEARCH($BA$15,'All Data'!$K266&amp;" "&amp;'All Data'!$M266)))),1,0)</f>
        <v>1</v>
      </c>
      <c r="H266">
        <f t="shared" si="24"/>
        <v>0</v>
      </c>
      <c r="I266">
        <f>IF(AND($H266=1,'All Data'!$C266&lt;&gt;"",COUNTIFS($H$2:H265,1,'All Data'!$C$2:$C265,'All Data'!$C266)=0),1,0)</f>
        <v>0</v>
      </c>
      <c r="J266" t="str">
        <f>IF($I266=1,SUM($I$2:I266),"")</f>
        <v/>
      </c>
      <c r="K266">
        <f t="shared" si="25"/>
        <v>0</v>
      </c>
      <c r="L266">
        <f>IF(AND($K266=1,'All Data'!$D266&lt;&gt;"",COUNTIFS($K$2:K265,1,'All Data'!$D$2:$D265,'All Data'!$D266)=0),1,0)</f>
        <v>0</v>
      </c>
      <c r="M266" t="str">
        <f>IF($L266=1,SUM($L$2:L266),"")</f>
        <v/>
      </c>
      <c r="N266">
        <f t="shared" si="26"/>
        <v>0</v>
      </c>
      <c r="O266">
        <f>IF(AND($N266=1,'All Data'!$E266&lt;&gt;"",COUNTIFS($N$2:N265,1,'All Data'!$E$2:$E265,'All Data'!$E266)=0),1,0)</f>
        <v>0</v>
      </c>
      <c r="P266" t="str">
        <f>IF($O266=1,SUM($O$2:O266),"")</f>
        <v/>
      </c>
      <c r="Q266">
        <f t="shared" si="27"/>
        <v>0</v>
      </c>
      <c r="R266">
        <f>IF(AND($Q266=1,'All Data'!$F266&lt;&gt;"",COUNTIFS($Q$2:Q265,1,'All Data'!$F$2:$F265,'All Data'!$F266)=0),1,0)</f>
        <v>0</v>
      </c>
      <c r="S266" t="str">
        <f>IF($R266=1,SUM($R$2:R266),"")</f>
        <v/>
      </c>
      <c r="T266">
        <f t="shared" si="28"/>
        <v>0</v>
      </c>
      <c r="U266">
        <f>IF(AND($T266=1,'All Data'!$G266&lt;&gt;"",COUNTIFS($T$2:T265,1,'All Data'!$G$2:$G265,'All Data'!$G266)=0),1,0)</f>
        <v>0</v>
      </c>
      <c r="V266" t="str">
        <f>IF($U266=1,SUM($U$2:U266),"")</f>
        <v/>
      </c>
      <c r="W266">
        <f t="shared" si="29"/>
        <v>0</v>
      </c>
      <c r="X266" t="str">
        <f>IF($W266=1,SUM($W$2:W266),"")</f>
        <v/>
      </c>
    </row>
    <row r="267" spans="1:24" x14ac:dyDescent="0.3">
      <c r="A267">
        <f>IF(OR($BA1="Any",$BA1=""),1,IF('All Data'!$B267=$BA1,1,0))</f>
        <v>0</v>
      </c>
      <c r="B267">
        <f>IF(OR($BA2="Any",$BA2=""),1,IF('All Data'!$C267=$BA2,1,0))</f>
        <v>1</v>
      </c>
      <c r="C267">
        <f>IF(OR($BA3="Any",$BA3=""),1,IF('All Data'!$D267=$BA3,1,0))</f>
        <v>1</v>
      </c>
      <c r="D267">
        <f>IF(OR($BA4="Any",$BA4=""),1,IF('All Data'!$E267=$BA4,1,0))</f>
        <v>1</v>
      </c>
      <c r="E267">
        <f>IF(OR($BA5="Any",$BA5=""),1,IF('All Data'!$F267=$BA5,1,0))</f>
        <v>1</v>
      </c>
      <c r="F267">
        <f>IF(OR($BA6="Any",$BA6=""),1,IF('All Data'!$G267=$BA6,1,0))</f>
        <v>0</v>
      </c>
      <c r="G267">
        <f>IF(AND(OR($BA$8="",ISNUMBER(SEARCH($BA$8,'All Data'!$K267&amp;" "&amp;'All Data'!$M267))),OR($BA$9="",ISNUMBER(SEARCH($BA$9,'All Data'!$K267&amp;" "&amp;'All Data'!$M267))),OR($BA$10="",ISNUMBER(SEARCH($BA$10,'All Data'!$K267&amp;" "&amp;'All Data'!$M267))),OR($BA$11="",ISNUMBER(SEARCH($BA$11,'All Data'!$K267&amp;" "&amp;'All Data'!$M267))),OR($BA$12="",ISNUMBER(SEARCH($BA$12,'All Data'!$K267&amp;" "&amp;'All Data'!$M267))),OR($BA$13="",ISNUMBER(SEARCH($BA$13,'All Data'!$K267&amp;" "&amp;'All Data'!$M267))),OR($BA$14="",ISNUMBER(SEARCH($BA$14,'All Data'!$K267&amp;" "&amp;'All Data'!$M267))),OR($BA$15="",ISNUMBER(SEARCH($BA$15,'All Data'!$K267&amp;" "&amp;'All Data'!$M267)))),1,0)</f>
        <v>1</v>
      </c>
      <c r="H267">
        <f t="shared" si="24"/>
        <v>0</v>
      </c>
      <c r="I267">
        <f>IF(AND($H267=1,'All Data'!$C267&lt;&gt;"",COUNTIFS($H$2:H266,1,'All Data'!$C$2:$C266,'All Data'!$C267)=0),1,0)</f>
        <v>0</v>
      </c>
      <c r="J267" t="str">
        <f>IF($I267=1,SUM($I$2:I267),"")</f>
        <v/>
      </c>
      <c r="K267">
        <f t="shared" si="25"/>
        <v>0</v>
      </c>
      <c r="L267">
        <f>IF(AND($K267=1,'All Data'!$D267&lt;&gt;"",COUNTIFS($K$2:K266,1,'All Data'!$D$2:$D266,'All Data'!$D267)=0),1,0)</f>
        <v>0</v>
      </c>
      <c r="M267" t="str">
        <f>IF($L267=1,SUM($L$2:L267),"")</f>
        <v/>
      </c>
      <c r="N267">
        <f t="shared" si="26"/>
        <v>0</v>
      </c>
      <c r="O267">
        <f>IF(AND($N267=1,'All Data'!$E267&lt;&gt;"",COUNTIFS($N$2:N266,1,'All Data'!$E$2:$E266,'All Data'!$E267)=0),1,0)</f>
        <v>0</v>
      </c>
      <c r="P267" t="str">
        <f>IF($O267=1,SUM($O$2:O267),"")</f>
        <v/>
      </c>
      <c r="Q267">
        <f t="shared" si="27"/>
        <v>0</v>
      </c>
      <c r="R267">
        <f>IF(AND($Q267=1,'All Data'!$F267&lt;&gt;"",COUNTIFS($Q$2:Q266,1,'All Data'!$F$2:$F266,'All Data'!$F267)=0),1,0)</f>
        <v>0</v>
      </c>
      <c r="S267" t="str">
        <f>IF($R267=1,SUM($R$2:R267),"")</f>
        <v/>
      </c>
      <c r="T267">
        <f t="shared" si="28"/>
        <v>0</v>
      </c>
      <c r="U267">
        <f>IF(AND($T267=1,'All Data'!$G267&lt;&gt;"",COUNTIFS($T$2:T266,1,'All Data'!$G$2:$G266,'All Data'!$G267)=0),1,0)</f>
        <v>0</v>
      </c>
      <c r="V267" t="str">
        <f>IF($U267=1,SUM($U$2:U267),"")</f>
        <v/>
      </c>
      <c r="W267">
        <f t="shared" si="29"/>
        <v>0</v>
      </c>
      <c r="X267" t="str">
        <f>IF($W267=1,SUM($W$2:W267),"")</f>
        <v/>
      </c>
    </row>
    <row r="268" spans="1:24" x14ac:dyDescent="0.3">
      <c r="A268">
        <f>IF(OR($BA1="Any",$BA1=""),1,IF('All Data'!$B268=$BA1,1,0))</f>
        <v>0</v>
      </c>
      <c r="B268">
        <f>IF(OR($BA2="Any",$BA2=""),1,IF('All Data'!$C268=$BA2,1,0))</f>
        <v>1</v>
      </c>
      <c r="C268">
        <f>IF(OR($BA3="Any",$BA3=""),1,IF('All Data'!$D268=$BA3,1,0))</f>
        <v>1</v>
      </c>
      <c r="D268">
        <f>IF(OR($BA4="Any",$BA4=""),1,IF('All Data'!$E268=$BA4,1,0))</f>
        <v>1</v>
      </c>
      <c r="E268">
        <f>IF(OR($BA5="Any",$BA5=""),1,IF('All Data'!$F268=$BA5,1,0))</f>
        <v>1</v>
      </c>
      <c r="F268">
        <f>IF(OR($BA6="Any",$BA6=""),1,IF('All Data'!$G268=$BA6,1,0))</f>
        <v>0</v>
      </c>
      <c r="G268">
        <f>IF(AND(OR($BA$8="",ISNUMBER(SEARCH($BA$8,'All Data'!$K268&amp;" "&amp;'All Data'!$M268))),OR($BA$9="",ISNUMBER(SEARCH($BA$9,'All Data'!$K268&amp;" "&amp;'All Data'!$M268))),OR($BA$10="",ISNUMBER(SEARCH($BA$10,'All Data'!$K268&amp;" "&amp;'All Data'!$M268))),OR($BA$11="",ISNUMBER(SEARCH($BA$11,'All Data'!$K268&amp;" "&amp;'All Data'!$M268))),OR($BA$12="",ISNUMBER(SEARCH($BA$12,'All Data'!$K268&amp;" "&amp;'All Data'!$M268))),OR($BA$13="",ISNUMBER(SEARCH($BA$13,'All Data'!$K268&amp;" "&amp;'All Data'!$M268))),OR($BA$14="",ISNUMBER(SEARCH($BA$14,'All Data'!$K268&amp;" "&amp;'All Data'!$M268))),OR($BA$15="",ISNUMBER(SEARCH($BA$15,'All Data'!$K268&amp;" "&amp;'All Data'!$M268)))),1,0)</f>
        <v>1</v>
      </c>
      <c r="H268">
        <f t="shared" si="24"/>
        <v>0</v>
      </c>
      <c r="I268">
        <f>IF(AND($H268=1,'All Data'!$C268&lt;&gt;"",COUNTIFS($H$2:H267,1,'All Data'!$C$2:$C267,'All Data'!$C268)=0),1,0)</f>
        <v>0</v>
      </c>
      <c r="J268" t="str">
        <f>IF($I268=1,SUM($I$2:I268),"")</f>
        <v/>
      </c>
      <c r="K268">
        <f t="shared" si="25"/>
        <v>0</v>
      </c>
      <c r="L268">
        <f>IF(AND($K268=1,'All Data'!$D268&lt;&gt;"",COUNTIFS($K$2:K267,1,'All Data'!$D$2:$D267,'All Data'!$D268)=0),1,0)</f>
        <v>0</v>
      </c>
      <c r="M268" t="str">
        <f>IF($L268=1,SUM($L$2:L268),"")</f>
        <v/>
      </c>
      <c r="N268">
        <f t="shared" si="26"/>
        <v>0</v>
      </c>
      <c r="O268">
        <f>IF(AND($N268=1,'All Data'!$E268&lt;&gt;"",COUNTIFS($N$2:N267,1,'All Data'!$E$2:$E267,'All Data'!$E268)=0),1,0)</f>
        <v>0</v>
      </c>
      <c r="P268" t="str">
        <f>IF($O268=1,SUM($O$2:O268),"")</f>
        <v/>
      </c>
      <c r="Q268">
        <f t="shared" si="27"/>
        <v>0</v>
      </c>
      <c r="R268">
        <f>IF(AND($Q268=1,'All Data'!$F268&lt;&gt;"",COUNTIFS($Q$2:Q267,1,'All Data'!$F$2:$F267,'All Data'!$F268)=0),1,0)</f>
        <v>0</v>
      </c>
      <c r="S268" t="str">
        <f>IF($R268=1,SUM($R$2:R268),"")</f>
        <v/>
      </c>
      <c r="T268">
        <f t="shared" si="28"/>
        <v>0</v>
      </c>
      <c r="U268">
        <f>IF(AND($T268=1,'All Data'!$G268&lt;&gt;"",COUNTIFS($T$2:T267,1,'All Data'!$G$2:$G267,'All Data'!$G268)=0),1,0)</f>
        <v>0</v>
      </c>
      <c r="V268" t="str">
        <f>IF($U268=1,SUM($U$2:U268),"")</f>
        <v/>
      </c>
      <c r="W268">
        <f t="shared" si="29"/>
        <v>0</v>
      </c>
      <c r="X268" t="str">
        <f>IF($W268=1,SUM($W$2:W268),"")</f>
        <v/>
      </c>
    </row>
    <row r="269" spans="1:24" x14ac:dyDescent="0.3">
      <c r="A269">
        <f>IF(OR($BA1="Any",$BA1=""),1,IF('All Data'!$B269=$BA1,1,0))</f>
        <v>0</v>
      </c>
      <c r="B269">
        <f>IF(OR($BA2="Any",$BA2=""),1,IF('All Data'!$C269=$BA2,1,0))</f>
        <v>1</v>
      </c>
      <c r="C269">
        <f>IF(OR($BA3="Any",$BA3=""),1,IF('All Data'!$D269=$BA3,1,0))</f>
        <v>1</v>
      </c>
      <c r="D269">
        <f>IF(OR($BA4="Any",$BA4=""),1,IF('All Data'!$E269=$BA4,1,0))</f>
        <v>1</v>
      </c>
      <c r="E269">
        <f>IF(OR($BA5="Any",$BA5=""),1,IF('All Data'!$F269=$BA5,1,0))</f>
        <v>1</v>
      </c>
      <c r="F269">
        <f>IF(OR($BA6="Any",$BA6=""),1,IF('All Data'!$G269=$BA6,1,0))</f>
        <v>0</v>
      </c>
      <c r="G269">
        <f>IF(AND(OR($BA$8="",ISNUMBER(SEARCH($BA$8,'All Data'!$K269&amp;" "&amp;'All Data'!$M269))),OR($BA$9="",ISNUMBER(SEARCH($BA$9,'All Data'!$K269&amp;" "&amp;'All Data'!$M269))),OR($BA$10="",ISNUMBER(SEARCH($BA$10,'All Data'!$K269&amp;" "&amp;'All Data'!$M269))),OR($BA$11="",ISNUMBER(SEARCH($BA$11,'All Data'!$K269&amp;" "&amp;'All Data'!$M269))),OR($BA$12="",ISNUMBER(SEARCH($BA$12,'All Data'!$K269&amp;" "&amp;'All Data'!$M269))),OR($BA$13="",ISNUMBER(SEARCH($BA$13,'All Data'!$K269&amp;" "&amp;'All Data'!$M269))),OR($BA$14="",ISNUMBER(SEARCH($BA$14,'All Data'!$K269&amp;" "&amp;'All Data'!$M269))),OR($BA$15="",ISNUMBER(SEARCH($BA$15,'All Data'!$K269&amp;" "&amp;'All Data'!$M269)))),1,0)</f>
        <v>1</v>
      </c>
      <c r="H269">
        <f t="shared" si="24"/>
        <v>0</v>
      </c>
      <c r="I269">
        <f>IF(AND($H269=1,'All Data'!$C269&lt;&gt;"",COUNTIFS($H$2:H268,1,'All Data'!$C$2:$C268,'All Data'!$C269)=0),1,0)</f>
        <v>0</v>
      </c>
      <c r="J269" t="str">
        <f>IF($I269=1,SUM($I$2:I269),"")</f>
        <v/>
      </c>
      <c r="K269">
        <f t="shared" si="25"/>
        <v>0</v>
      </c>
      <c r="L269">
        <f>IF(AND($K269=1,'All Data'!$D269&lt;&gt;"",COUNTIFS($K$2:K268,1,'All Data'!$D$2:$D268,'All Data'!$D269)=0),1,0)</f>
        <v>0</v>
      </c>
      <c r="M269" t="str">
        <f>IF($L269=1,SUM($L$2:L269),"")</f>
        <v/>
      </c>
      <c r="N269">
        <f t="shared" si="26"/>
        <v>0</v>
      </c>
      <c r="O269">
        <f>IF(AND($N269=1,'All Data'!$E269&lt;&gt;"",COUNTIFS($N$2:N268,1,'All Data'!$E$2:$E268,'All Data'!$E269)=0),1,0)</f>
        <v>0</v>
      </c>
      <c r="P269" t="str">
        <f>IF($O269=1,SUM($O$2:O269),"")</f>
        <v/>
      </c>
      <c r="Q269">
        <f t="shared" si="27"/>
        <v>0</v>
      </c>
      <c r="R269">
        <f>IF(AND($Q269=1,'All Data'!$F269&lt;&gt;"",COUNTIFS($Q$2:Q268,1,'All Data'!$F$2:$F268,'All Data'!$F269)=0),1,0)</f>
        <v>0</v>
      </c>
      <c r="S269" t="str">
        <f>IF($R269=1,SUM($R$2:R269),"")</f>
        <v/>
      </c>
      <c r="T269">
        <f t="shared" si="28"/>
        <v>0</v>
      </c>
      <c r="U269">
        <f>IF(AND($T269=1,'All Data'!$G269&lt;&gt;"",COUNTIFS($T$2:T268,1,'All Data'!$G$2:$G268,'All Data'!$G269)=0),1,0)</f>
        <v>0</v>
      </c>
      <c r="V269" t="str">
        <f>IF($U269=1,SUM($U$2:U269),"")</f>
        <v/>
      </c>
      <c r="W269">
        <f t="shared" si="29"/>
        <v>0</v>
      </c>
      <c r="X269" t="str">
        <f>IF($W269=1,SUM($W$2:W269),"")</f>
        <v/>
      </c>
    </row>
    <row r="270" spans="1:24" x14ac:dyDescent="0.3">
      <c r="A270">
        <f>IF(OR($BA1="Any",$BA1=""),1,IF('All Data'!$B270=$BA1,1,0))</f>
        <v>0</v>
      </c>
      <c r="B270">
        <f>IF(OR($BA2="Any",$BA2=""),1,IF('All Data'!$C270=$BA2,1,0))</f>
        <v>1</v>
      </c>
      <c r="C270">
        <f>IF(OR($BA3="Any",$BA3=""),1,IF('All Data'!$D270=$BA3,1,0))</f>
        <v>1</v>
      </c>
      <c r="D270">
        <f>IF(OR($BA4="Any",$BA4=""),1,IF('All Data'!$E270=$BA4,1,0))</f>
        <v>1</v>
      </c>
      <c r="E270">
        <f>IF(OR($BA5="Any",$BA5=""),1,IF('All Data'!$F270=$BA5,1,0))</f>
        <v>1</v>
      </c>
      <c r="F270">
        <f>IF(OR($BA6="Any",$BA6=""),1,IF('All Data'!$G270=$BA6,1,0))</f>
        <v>0</v>
      </c>
      <c r="G270">
        <f>IF(AND(OR($BA$8="",ISNUMBER(SEARCH($BA$8,'All Data'!$K270&amp;" "&amp;'All Data'!$M270))),OR($BA$9="",ISNUMBER(SEARCH($BA$9,'All Data'!$K270&amp;" "&amp;'All Data'!$M270))),OR($BA$10="",ISNUMBER(SEARCH($BA$10,'All Data'!$K270&amp;" "&amp;'All Data'!$M270))),OR($BA$11="",ISNUMBER(SEARCH($BA$11,'All Data'!$K270&amp;" "&amp;'All Data'!$M270))),OR($BA$12="",ISNUMBER(SEARCH($BA$12,'All Data'!$K270&amp;" "&amp;'All Data'!$M270))),OR($BA$13="",ISNUMBER(SEARCH($BA$13,'All Data'!$K270&amp;" "&amp;'All Data'!$M270))),OR($BA$14="",ISNUMBER(SEARCH($BA$14,'All Data'!$K270&amp;" "&amp;'All Data'!$M270))),OR($BA$15="",ISNUMBER(SEARCH($BA$15,'All Data'!$K270&amp;" "&amp;'All Data'!$M270)))),1,0)</f>
        <v>1</v>
      </c>
      <c r="H270">
        <f t="shared" si="24"/>
        <v>0</v>
      </c>
      <c r="I270">
        <f>IF(AND($H270=1,'All Data'!$C270&lt;&gt;"",COUNTIFS($H$2:H269,1,'All Data'!$C$2:$C269,'All Data'!$C270)=0),1,0)</f>
        <v>0</v>
      </c>
      <c r="J270" t="str">
        <f>IF($I270=1,SUM($I$2:I270),"")</f>
        <v/>
      </c>
      <c r="K270">
        <f t="shared" si="25"/>
        <v>0</v>
      </c>
      <c r="L270">
        <f>IF(AND($K270=1,'All Data'!$D270&lt;&gt;"",COUNTIFS($K$2:K269,1,'All Data'!$D$2:$D269,'All Data'!$D270)=0),1,0)</f>
        <v>0</v>
      </c>
      <c r="M270" t="str">
        <f>IF($L270=1,SUM($L$2:L270),"")</f>
        <v/>
      </c>
      <c r="N270">
        <f t="shared" si="26"/>
        <v>0</v>
      </c>
      <c r="O270">
        <f>IF(AND($N270=1,'All Data'!$E270&lt;&gt;"",COUNTIFS($N$2:N269,1,'All Data'!$E$2:$E269,'All Data'!$E270)=0),1,0)</f>
        <v>0</v>
      </c>
      <c r="P270" t="str">
        <f>IF($O270=1,SUM($O$2:O270),"")</f>
        <v/>
      </c>
      <c r="Q270">
        <f t="shared" si="27"/>
        <v>0</v>
      </c>
      <c r="R270">
        <f>IF(AND($Q270=1,'All Data'!$F270&lt;&gt;"",COUNTIFS($Q$2:Q269,1,'All Data'!$F$2:$F269,'All Data'!$F270)=0),1,0)</f>
        <v>0</v>
      </c>
      <c r="S270" t="str">
        <f>IF($R270=1,SUM($R$2:R270),"")</f>
        <v/>
      </c>
      <c r="T270">
        <f t="shared" si="28"/>
        <v>0</v>
      </c>
      <c r="U270">
        <f>IF(AND($T270=1,'All Data'!$G270&lt;&gt;"",COUNTIFS($T$2:T269,1,'All Data'!$G$2:$G269,'All Data'!$G270)=0),1,0)</f>
        <v>0</v>
      </c>
      <c r="V270" t="str">
        <f>IF($U270=1,SUM($U$2:U270),"")</f>
        <v/>
      </c>
      <c r="W270">
        <f t="shared" si="29"/>
        <v>0</v>
      </c>
      <c r="X270" t="str">
        <f>IF($W270=1,SUM($W$2:W270),"")</f>
        <v/>
      </c>
    </row>
    <row r="271" spans="1:24" x14ac:dyDescent="0.3">
      <c r="A271">
        <f>IF(OR($BA1="Any",$BA1=""),1,IF('All Data'!$B271=$BA1,1,0))</f>
        <v>0</v>
      </c>
      <c r="B271">
        <f>IF(OR($BA2="Any",$BA2=""),1,IF('All Data'!$C271=$BA2,1,0))</f>
        <v>1</v>
      </c>
      <c r="C271">
        <f>IF(OR($BA3="Any",$BA3=""),1,IF('All Data'!$D271=$BA3,1,0))</f>
        <v>1</v>
      </c>
      <c r="D271">
        <f>IF(OR($BA4="Any",$BA4=""),1,IF('All Data'!$E271=$BA4,1,0))</f>
        <v>1</v>
      </c>
      <c r="E271">
        <f>IF(OR($BA5="Any",$BA5=""),1,IF('All Data'!$F271=$BA5,1,0))</f>
        <v>1</v>
      </c>
      <c r="F271">
        <f>IF(OR($BA6="Any",$BA6=""),1,IF('All Data'!$G271=$BA6,1,0))</f>
        <v>0</v>
      </c>
      <c r="G271">
        <f>IF(AND(OR($BA$8="",ISNUMBER(SEARCH($BA$8,'All Data'!$K271&amp;" "&amp;'All Data'!$M271))),OR($BA$9="",ISNUMBER(SEARCH($BA$9,'All Data'!$K271&amp;" "&amp;'All Data'!$M271))),OR($BA$10="",ISNUMBER(SEARCH($BA$10,'All Data'!$K271&amp;" "&amp;'All Data'!$M271))),OR($BA$11="",ISNUMBER(SEARCH($BA$11,'All Data'!$K271&amp;" "&amp;'All Data'!$M271))),OR($BA$12="",ISNUMBER(SEARCH($BA$12,'All Data'!$K271&amp;" "&amp;'All Data'!$M271))),OR($BA$13="",ISNUMBER(SEARCH($BA$13,'All Data'!$K271&amp;" "&amp;'All Data'!$M271))),OR($BA$14="",ISNUMBER(SEARCH($BA$14,'All Data'!$K271&amp;" "&amp;'All Data'!$M271))),OR($BA$15="",ISNUMBER(SEARCH($BA$15,'All Data'!$K271&amp;" "&amp;'All Data'!$M271)))),1,0)</f>
        <v>1</v>
      </c>
      <c r="H271">
        <f t="shared" si="24"/>
        <v>0</v>
      </c>
      <c r="I271">
        <f>IF(AND($H271=1,'All Data'!$C271&lt;&gt;"",COUNTIFS($H$2:H270,1,'All Data'!$C$2:$C270,'All Data'!$C271)=0),1,0)</f>
        <v>0</v>
      </c>
      <c r="J271" t="str">
        <f>IF($I271=1,SUM($I$2:I271),"")</f>
        <v/>
      </c>
      <c r="K271">
        <f t="shared" si="25"/>
        <v>0</v>
      </c>
      <c r="L271">
        <f>IF(AND($K271=1,'All Data'!$D271&lt;&gt;"",COUNTIFS($K$2:K270,1,'All Data'!$D$2:$D270,'All Data'!$D271)=0),1,0)</f>
        <v>0</v>
      </c>
      <c r="M271" t="str">
        <f>IF($L271=1,SUM($L$2:L271),"")</f>
        <v/>
      </c>
      <c r="N271">
        <f t="shared" si="26"/>
        <v>0</v>
      </c>
      <c r="O271">
        <f>IF(AND($N271=1,'All Data'!$E271&lt;&gt;"",COUNTIFS($N$2:N270,1,'All Data'!$E$2:$E270,'All Data'!$E271)=0),1,0)</f>
        <v>0</v>
      </c>
      <c r="P271" t="str">
        <f>IF($O271=1,SUM($O$2:O271),"")</f>
        <v/>
      </c>
      <c r="Q271">
        <f t="shared" si="27"/>
        <v>0</v>
      </c>
      <c r="R271">
        <f>IF(AND($Q271=1,'All Data'!$F271&lt;&gt;"",COUNTIFS($Q$2:Q270,1,'All Data'!$F$2:$F270,'All Data'!$F271)=0),1,0)</f>
        <v>0</v>
      </c>
      <c r="S271" t="str">
        <f>IF($R271=1,SUM($R$2:R271),"")</f>
        <v/>
      </c>
      <c r="T271">
        <f t="shared" si="28"/>
        <v>0</v>
      </c>
      <c r="U271">
        <f>IF(AND($T271=1,'All Data'!$G271&lt;&gt;"",COUNTIFS($T$2:T270,1,'All Data'!$G$2:$G270,'All Data'!$G271)=0),1,0)</f>
        <v>0</v>
      </c>
      <c r="V271" t="str">
        <f>IF($U271=1,SUM($U$2:U271),"")</f>
        <v/>
      </c>
      <c r="W271">
        <f t="shared" si="29"/>
        <v>0</v>
      </c>
      <c r="X271" t="str">
        <f>IF($W271=1,SUM($W$2:W271),"")</f>
        <v/>
      </c>
    </row>
    <row r="272" spans="1:24" x14ac:dyDescent="0.3">
      <c r="A272">
        <f>IF(OR($BA1="Any",$BA1=""),1,IF('All Data'!$B272=$BA1,1,0))</f>
        <v>0</v>
      </c>
      <c r="B272">
        <f>IF(OR($BA2="Any",$BA2=""),1,IF('All Data'!$C272=$BA2,1,0))</f>
        <v>1</v>
      </c>
      <c r="C272">
        <f>IF(OR($BA3="Any",$BA3=""),1,IF('All Data'!$D272=$BA3,1,0))</f>
        <v>1</v>
      </c>
      <c r="D272">
        <f>IF(OR($BA4="Any",$BA4=""),1,IF('All Data'!$E272=$BA4,1,0))</f>
        <v>1</v>
      </c>
      <c r="E272">
        <f>IF(OR($BA5="Any",$BA5=""),1,IF('All Data'!$F272=$BA5,1,0))</f>
        <v>1</v>
      </c>
      <c r="F272">
        <f>IF(OR($BA6="Any",$BA6=""),1,IF('All Data'!$G272=$BA6,1,0))</f>
        <v>0</v>
      </c>
      <c r="G272">
        <f>IF(AND(OR($BA$8="",ISNUMBER(SEARCH($BA$8,'All Data'!$K272&amp;" "&amp;'All Data'!$M272))),OR($BA$9="",ISNUMBER(SEARCH($BA$9,'All Data'!$K272&amp;" "&amp;'All Data'!$M272))),OR($BA$10="",ISNUMBER(SEARCH($BA$10,'All Data'!$K272&amp;" "&amp;'All Data'!$M272))),OR($BA$11="",ISNUMBER(SEARCH($BA$11,'All Data'!$K272&amp;" "&amp;'All Data'!$M272))),OR($BA$12="",ISNUMBER(SEARCH($BA$12,'All Data'!$K272&amp;" "&amp;'All Data'!$M272))),OR($BA$13="",ISNUMBER(SEARCH($BA$13,'All Data'!$K272&amp;" "&amp;'All Data'!$M272))),OR($BA$14="",ISNUMBER(SEARCH($BA$14,'All Data'!$K272&amp;" "&amp;'All Data'!$M272))),OR($BA$15="",ISNUMBER(SEARCH($BA$15,'All Data'!$K272&amp;" "&amp;'All Data'!$M272)))),1,0)</f>
        <v>1</v>
      </c>
      <c r="H272">
        <f t="shared" si="24"/>
        <v>0</v>
      </c>
      <c r="I272">
        <f>IF(AND($H272=1,'All Data'!$C272&lt;&gt;"",COUNTIFS($H$2:H271,1,'All Data'!$C$2:$C271,'All Data'!$C272)=0),1,0)</f>
        <v>0</v>
      </c>
      <c r="J272" t="str">
        <f>IF($I272=1,SUM($I$2:I272),"")</f>
        <v/>
      </c>
      <c r="K272">
        <f t="shared" si="25"/>
        <v>0</v>
      </c>
      <c r="L272">
        <f>IF(AND($K272=1,'All Data'!$D272&lt;&gt;"",COUNTIFS($K$2:K271,1,'All Data'!$D$2:$D271,'All Data'!$D272)=0),1,0)</f>
        <v>0</v>
      </c>
      <c r="M272" t="str">
        <f>IF($L272=1,SUM($L$2:L272),"")</f>
        <v/>
      </c>
      <c r="N272">
        <f t="shared" si="26"/>
        <v>0</v>
      </c>
      <c r="O272">
        <f>IF(AND($N272=1,'All Data'!$E272&lt;&gt;"",COUNTIFS($N$2:N271,1,'All Data'!$E$2:$E271,'All Data'!$E272)=0),1,0)</f>
        <v>0</v>
      </c>
      <c r="P272" t="str">
        <f>IF($O272=1,SUM($O$2:O272),"")</f>
        <v/>
      </c>
      <c r="Q272">
        <f t="shared" si="27"/>
        <v>0</v>
      </c>
      <c r="R272">
        <f>IF(AND($Q272=1,'All Data'!$F272&lt;&gt;"",COUNTIFS($Q$2:Q271,1,'All Data'!$F$2:$F271,'All Data'!$F272)=0),1,0)</f>
        <v>0</v>
      </c>
      <c r="S272" t="str">
        <f>IF($R272=1,SUM($R$2:R272),"")</f>
        <v/>
      </c>
      <c r="T272">
        <f t="shared" si="28"/>
        <v>0</v>
      </c>
      <c r="U272">
        <f>IF(AND($T272=1,'All Data'!$G272&lt;&gt;"",COUNTIFS($T$2:T271,1,'All Data'!$G$2:$G271,'All Data'!$G272)=0),1,0)</f>
        <v>0</v>
      </c>
      <c r="V272" t="str">
        <f>IF($U272=1,SUM($U$2:U272),"")</f>
        <v/>
      </c>
      <c r="W272">
        <f t="shared" si="29"/>
        <v>0</v>
      </c>
      <c r="X272" t="str">
        <f>IF($W272=1,SUM($W$2:W272),"")</f>
        <v/>
      </c>
    </row>
    <row r="273" spans="1:24" x14ac:dyDescent="0.3">
      <c r="A273">
        <f>IF(OR($BA1="Any",$BA1=""),1,IF('All Data'!$B273=$BA1,1,0))</f>
        <v>0</v>
      </c>
      <c r="B273">
        <f>IF(OR($BA2="Any",$BA2=""),1,IF('All Data'!$C273=$BA2,1,0))</f>
        <v>1</v>
      </c>
      <c r="C273">
        <f>IF(OR($BA3="Any",$BA3=""),1,IF('All Data'!$D273=$BA3,1,0))</f>
        <v>1</v>
      </c>
      <c r="D273">
        <f>IF(OR($BA4="Any",$BA4=""),1,IF('All Data'!$E273=$BA4,1,0))</f>
        <v>1</v>
      </c>
      <c r="E273">
        <f>IF(OR($BA5="Any",$BA5=""),1,IF('All Data'!$F273=$BA5,1,0))</f>
        <v>1</v>
      </c>
      <c r="F273">
        <f>IF(OR($BA6="Any",$BA6=""),1,IF('All Data'!$G273=$BA6,1,0))</f>
        <v>0</v>
      </c>
      <c r="G273">
        <f>IF(AND(OR($BA$8="",ISNUMBER(SEARCH($BA$8,'All Data'!$K273&amp;" "&amp;'All Data'!$M273))),OR($BA$9="",ISNUMBER(SEARCH($BA$9,'All Data'!$K273&amp;" "&amp;'All Data'!$M273))),OR($BA$10="",ISNUMBER(SEARCH($BA$10,'All Data'!$K273&amp;" "&amp;'All Data'!$M273))),OR($BA$11="",ISNUMBER(SEARCH($BA$11,'All Data'!$K273&amp;" "&amp;'All Data'!$M273))),OR($BA$12="",ISNUMBER(SEARCH($BA$12,'All Data'!$K273&amp;" "&amp;'All Data'!$M273))),OR($BA$13="",ISNUMBER(SEARCH($BA$13,'All Data'!$K273&amp;" "&amp;'All Data'!$M273))),OR($BA$14="",ISNUMBER(SEARCH($BA$14,'All Data'!$K273&amp;" "&amp;'All Data'!$M273))),OR($BA$15="",ISNUMBER(SEARCH($BA$15,'All Data'!$K273&amp;" "&amp;'All Data'!$M273)))),1,0)</f>
        <v>1</v>
      </c>
      <c r="H273">
        <f t="shared" si="24"/>
        <v>0</v>
      </c>
      <c r="I273">
        <f>IF(AND($H273=1,'All Data'!$C273&lt;&gt;"",COUNTIFS($H$2:H272,1,'All Data'!$C$2:$C272,'All Data'!$C273)=0),1,0)</f>
        <v>0</v>
      </c>
      <c r="J273" t="str">
        <f>IF($I273=1,SUM($I$2:I273),"")</f>
        <v/>
      </c>
      <c r="K273">
        <f t="shared" si="25"/>
        <v>0</v>
      </c>
      <c r="L273">
        <f>IF(AND($K273=1,'All Data'!$D273&lt;&gt;"",COUNTIFS($K$2:K272,1,'All Data'!$D$2:$D272,'All Data'!$D273)=0),1,0)</f>
        <v>0</v>
      </c>
      <c r="M273" t="str">
        <f>IF($L273=1,SUM($L$2:L273),"")</f>
        <v/>
      </c>
      <c r="N273">
        <f t="shared" si="26"/>
        <v>0</v>
      </c>
      <c r="O273">
        <f>IF(AND($N273=1,'All Data'!$E273&lt;&gt;"",COUNTIFS($N$2:N272,1,'All Data'!$E$2:$E272,'All Data'!$E273)=0),1,0)</f>
        <v>0</v>
      </c>
      <c r="P273" t="str">
        <f>IF($O273=1,SUM($O$2:O273),"")</f>
        <v/>
      </c>
      <c r="Q273">
        <f t="shared" si="27"/>
        <v>0</v>
      </c>
      <c r="R273">
        <f>IF(AND($Q273=1,'All Data'!$F273&lt;&gt;"",COUNTIFS($Q$2:Q272,1,'All Data'!$F$2:$F272,'All Data'!$F273)=0),1,0)</f>
        <v>0</v>
      </c>
      <c r="S273" t="str">
        <f>IF($R273=1,SUM($R$2:R273),"")</f>
        <v/>
      </c>
      <c r="T273">
        <f t="shared" si="28"/>
        <v>0</v>
      </c>
      <c r="U273">
        <f>IF(AND($T273=1,'All Data'!$G273&lt;&gt;"",COUNTIFS($T$2:T272,1,'All Data'!$G$2:$G272,'All Data'!$G273)=0),1,0)</f>
        <v>0</v>
      </c>
      <c r="V273" t="str">
        <f>IF($U273=1,SUM($U$2:U273),"")</f>
        <v/>
      </c>
      <c r="W273">
        <f t="shared" si="29"/>
        <v>0</v>
      </c>
      <c r="X273" t="str">
        <f>IF($W273=1,SUM($W$2:W273),"")</f>
        <v/>
      </c>
    </row>
    <row r="274" spans="1:24" x14ac:dyDescent="0.3">
      <c r="A274">
        <f>IF(OR($BA1="Any",$BA1=""),1,IF('All Data'!$B274=$BA1,1,0))</f>
        <v>0</v>
      </c>
      <c r="B274">
        <f>IF(OR($BA2="Any",$BA2=""),1,IF('All Data'!$C274=$BA2,1,0))</f>
        <v>1</v>
      </c>
      <c r="C274">
        <f>IF(OR($BA3="Any",$BA3=""),1,IF('All Data'!$D274=$BA3,1,0))</f>
        <v>1</v>
      </c>
      <c r="D274">
        <f>IF(OR($BA4="Any",$BA4=""),1,IF('All Data'!$E274=$BA4,1,0))</f>
        <v>1</v>
      </c>
      <c r="E274">
        <f>IF(OR($BA5="Any",$BA5=""),1,IF('All Data'!$F274=$BA5,1,0))</f>
        <v>1</v>
      </c>
      <c r="F274">
        <f>IF(OR($BA6="Any",$BA6=""),1,IF('All Data'!$G274=$BA6,1,0))</f>
        <v>1</v>
      </c>
      <c r="G274">
        <f>IF(AND(OR($BA$8="",ISNUMBER(SEARCH($BA$8,'All Data'!$K274&amp;" "&amp;'All Data'!$M274))),OR($BA$9="",ISNUMBER(SEARCH($BA$9,'All Data'!$K274&amp;" "&amp;'All Data'!$M274))),OR($BA$10="",ISNUMBER(SEARCH($BA$10,'All Data'!$K274&amp;" "&amp;'All Data'!$M274))),OR($BA$11="",ISNUMBER(SEARCH($BA$11,'All Data'!$K274&amp;" "&amp;'All Data'!$M274))),OR($BA$12="",ISNUMBER(SEARCH($BA$12,'All Data'!$K274&amp;" "&amp;'All Data'!$M274))),OR($BA$13="",ISNUMBER(SEARCH($BA$13,'All Data'!$K274&amp;" "&amp;'All Data'!$M274))),OR($BA$14="",ISNUMBER(SEARCH($BA$14,'All Data'!$K274&amp;" "&amp;'All Data'!$M274))),OR($BA$15="",ISNUMBER(SEARCH($BA$15,'All Data'!$K274&amp;" "&amp;'All Data'!$M274)))),1,0)</f>
        <v>1</v>
      </c>
      <c r="H274">
        <f t="shared" si="24"/>
        <v>0</v>
      </c>
      <c r="I274">
        <f>IF(AND($H274=1,'All Data'!$C274&lt;&gt;"",COUNTIFS($H$2:H273,1,'All Data'!$C$2:$C273,'All Data'!$C274)=0),1,0)</f>
        <v>0</v>
      </c>
      <c r="J274" t="str">
        <f>IF($I274=1,SUM($I$2:I274),"")</f>
        <v/>
      </c>
      <c r="K274">
        <f t="shared" si="25"/>
        <v>0</v>
      </c>
      <c r="L274">
        <f>IF(AND($K274=1,'All Data'!$D274&lt;&gt;"",COUNTIFS($K$2:K273,1,'All Data'!$D$2:$D273,'All Data'!$D274)=0),1,0)</f>
        <v>0</v>
      </c>
      <c r="M274" t="str">
        <f>IF($L274=1,SUM($L$2:L274),"")</f>
        <v/>
      </c>
      <c r="N274">
        <f t="shared" si="26"/>
        <v>0</v>
      </c>
      <c r="O274">
        <f>IF(AND($N274=1,'All Data'!$E274&lt;&gt;"",COUNTIFS($N$2:N273,1,'All Data'!$E$2:$E273,'All Data'!$E274)=0),1,0)</f>
        <v>0</v>
      </c>
      <c r="P274" t="str">
        <f>IF($O274=1,SUM($O$2:O274),"")</f>
        <v/>
      </c>
      <c r="Q274">
        <f t="shared" si="27"/>
        <v>0</v>
      </c>
      <c r="R274">
        <f>IF(AND($Q274=1,'All Data'!$F274&lt;&gt;"",COUNTIFS($Q$2:Q273,1,'All Data'!$F$2:$F273,'All Data'!$F274)=0),1,0)</f>
        <v>0</v>
      </c>
      <c r="S274" t="str">
        <f>IF($R274=1,SUM($R$2:R274),"")</f>
        <v/>
      </c>
      <c r="T274">
        <f t="shared" si="28"/>
        <v>0</v>
      </c>
      <c r="U274">
        <f>IF(AND($T274=1,'All Data'!$G274&lt;&gt;"",COUNTIFS($T$2:T273,1,'All Data'!$G$2:$G273,'All Data'!$G274)=0),1,0)</f>
        <v>0</v>
      </c>
      <c r="V274" t="str">
        <f>IF($U274=1,SUM($U$2:U274),"")</f>
        <v/>
      </c>
      <c r="W274">
        <f t="shared" si="29"/>
        <v>0</v>
      </c>
      <c r="X274" t="str">
        <f>IF($W274=1,SUM($W$2:W274),"")</f>
        <v/>
      </c>
    </row>
    <row r="275" spans="1:24" x14ac:dyDescent="0.3">
      <c r="A275">
        <f>IF(OR($BA1="Any",$BA1=""),1,IF('All Data'!$B275=$BA1,1,0))</f>
        <v>0</v>
      </c>
      <c r="B275">
        <f>IF(OR($BA2="Any",$BA2=""),1,IF('All Data'!$C275=$BA2,1,0))</f>
        <v>1</v>
      </c>
      <c r="C275">
        <f>IF(OR($BA3="Any",$BA3=""),1,IF('All Data'!$D275=$BA3,1,0))</f>
        <v>1</v>
      </c>
      <c r="D275">
        <f>IF(OR($BA4="Any",$BA4=""),1,IF('All Data'!$E275=$BA4,1,0))</f>
        <v>1</v>
      </c>
      <c r="E275">
        <f>IF(OR($BA5="Any",$BA5=""),1,IF('All Data'!$F275=$BA5,1,0))</f>
        <v>1</v>
      </c>
      <c r="F275">
        <f>IF(OR($BA6="Any",$BA6=""),1,IF('All Data'!$G275=$BA6,1,0))</f>
        <v>0</v>
      </c>
      <c r="G275">
        <f>IF(AND(OR($BA$8="",ISNUMBER(SEARCH($BA$8,'All Data'!$K275&amp;" "&amp;'All Data'!$M275))),OR($BA$9="",ISNUMBER(SEARCH($BA$9,'All Data'!$K275&amp;" "&amp;'All Data'!$M275))),OR($BA$10="",ISNUMBER(SEARCH($BA$10,'All Data'!$K275&amp;" "&amp;'All Data'!$M275))),OR($BA$11="",ISNUMBER(SEARCH($BA$11,'All Data'!$K275&amp;" "&amp;'All Data'!$M275))),OR($BA$12="",ISNUMBER(SEARCH($BA$12,'All Data'!$K275&amp;" "&amp;'All Data'!$M275))),OR($BA$13="",ISNUMBER(SEARCH($BA$13,'All Data'!$K275&amp;" "&amp;'All Data'!$M275))),OR($BA$14="",ISNUMBER(SEARCH($BA$14,'All Data'!$K275&amp;" "&amp;'All Data'!$M275))),OR($BA$15="",ISNUMBER(SEARCH($BA$15,'All Data'!$K275&amp;" "&amp;'All Data'!$M275)))),1,0)</f>
        <v>1</v>
      </c>
      <c r="H275">
        <f t="shared" si="24"/>
        <v>0</v>
      </c>
      <c r="I275">
        <f>IF(AND($H275=1,'All Data'!$C275&lt;&gt;"",COUNTIFS($H$2:H274,1,'All Data'!$C$2:$C274,'All Data'!$C275)=0),1,0)</f>
        <v>0</v>
      </c>
      <c r="J275" t="str">
        <f>IF($I275=1,SUM($I$2:I275),"")</f>
        <v/>
      </c>
      <c r="K275">
        <f t="shared" si="25"/>
        <v>0</v>
      </c>
      <c r="L275">
        <f>IF(AND($K275=1,'All Data'!$D275&lt;&gt;"",COUNTIFS($K$2:K274,1,'All Data'!$D$2:$D274,'All Data'!$D275)=0),1,0)</f>
        <v>0</v>
      </c>
      <c r="M275" t="str">
        <f>IF($L275=1,SUM($L$2:L275),"")</f>
        <v/>
      </c>
      <c r="N275">
        <f t="shared" si="26"/>
        <v>0</v>
      </c>
      <c r="O275">
        <f>IF(AND($N275=1,'All Data'!$E275&lt;&gt;"",COUNTIFS($N$2:N274,1,'All Data'!$E$2:$E274,'All Data'!$E275)=0),1,0)</f>
        <v>0</v>
      </c>
      <c r="P275" t="str">
        <f>IF($O275=1,SUM($O$2:O275),"")</f>
        <v/>
      </c>
      <c r="Q275">
        <f t="shared" si="27"/>
        <v>0</v>
      </c>
      <c r="R275">
        <f>IF(AND($Q275=1,'All Data'!$F275&lt;&gt;"",COUNTIFS($Q$2:Q274,1,'All Data'!$F$2:$F274,'All Data'!$F275)=0),1,0)</f>
        <v>0</v>
      </c>
      <c r="S275" t="str">
        <f>IF($R275=1,SUM($R$2:R275),"")</f>
        <v/>
      </c>
      <c r="T275">
        <f t="shared" si="28"/>
        <v>0</v>
      </c>
      <c r="U275">
        <f>IF(AND($T275=1,'All Data'!$G275&lt;&gt;"",COUNTIFS($T$2:T274,1,'All Data'!$G$2:$G274,'All Data'!$G275)=0),1,0)</f>
        <v>0</v>
      </c>
      <c r="V275" t="str">
        <f>IF($U275=1,SUM($U$2:U275),"")</f>
        <v/>
      </c>
      <c r="W275">
        <f t="shared" si="29"/>
        <v>0</v>
      </c>
      <c r="X275" t="str">
        <f>IF($W275=1,SUM($W$2:W275),"")</f>
        <v/>
      </c>
    </row>
    <row r="276" spans="1:24" x14ac:dyDescent="0.3">
      <c r="A276">
        <f>IF(OR($BA1="Any",$BA1=""),1,IF('All Data'!$B276=$BA1,1,0))</f>
        <v>0</v>
      </c>
      <c r="B276">
        <f>IF(OR($BA2="Any",$BA2=""),1,IF('All Data'!$C276=$BA2,1,0))</f>
        <v>1</v>
      </c>
      <c r="C276">
        <f>IF(OR($BA3="Any",$BA3=""),1,IF('All Data'!$D276=$BA3,1,0))</f>
        <v>1</v>
      </c>
      <c r="D276">
        <f>IF(OR($BA4="Any",$BA4=""),1,IF('All Data'!$E276=$BA4,1,0))</f>
        <v>1</v>
      </c>
      <c r="E276">
        <f>IF(OR($BA5="Any",$BA5=""),1,IF('All Data'!$F276=$BA5,1,0))</f>
        <v>1</v>
      </c>
      <c r="F276">
        <f>IF(OR($BA6="Any",$BA6=""),1,IF('All Data'!$G276=$BA6,1,0))</f>
        <v>0</v>
      </c>
      <c r="G276">
        <f>IF(AND(OR($BA$8="",ISNUMBER(SEARCH($BA$8,'All Data'!$K276&amp;" "&amp;'All Data'!$M276))),OR($BA$9="",ISNUMBER(SEARCH($BA$9,'All Data'!$K276&amp;" "&amp;'All Data'!$M276))),OR($BA$10="",ISNUMBER(SEARCH($BA$10,'All Data'!$K276&amp;" "&amp;'All Data'!$M276))),OR($BA$11="",ISNUMBER(SEARCH($BA$11,'All Data'!$K276&amp;" "&amp;'All Data'!$M276))),OR($BA$12="",ISNUMBER(SEARCH($BA$12,'All Data'!$K276&amp;" "&amp;'All Data'!$M276))),OR($BA$13="",ISNUMBER(SEARCH($BA$13,'All Data'!$K276&amp;" "&amp;'All Data'!$M276))),OR($BA$14="",ISNUMBER(SEARCH($BA$14,'All Data'!$K276&amp;" "&amp;'All Data'!$M276))),OR($BA$15="",ISNUMBER(SEARCH($BA$15,'All Data'!$K276&amp;" "&amp;'All Data'!$M276)))),1,0)</f>
        <v>1</v>
      </c>
      <c r="H276">
        <f t="shared" si="24"/>
        <v>0</v>
      </c>
      <c r="I276">
        <f>IF(AND($H276=1,'All Data'!$C276&lt;&gt;"",COUNTIFS($H$2:H275,1,'All Data'!$C$2:$C275,'All Data'!$C276)=0),1,0)</f>
        <v>0</v>
      </c>
      <c r="J276" t="str">
        <f>IF($I276=1,SUM($I$2:I276),"")</f>
        <v/>
      </c>
      <c r="K276">
        <f t="shared" si="25"/>
        <v>0</v>
      </c>
      <c r="L276">
        <f>IF(AND($K276=1,'All Data'!$D276&lt;&gt;"",COUNTIFS($K$2:K275,1,'All Data'!$D$2:$D275,'All Data'!$D276)=0),1,0)</f>
        <v>0</v>
      </c>
      <c r="M276" t="str">
        <f>IF($L276=1,SUM($L$2:L276),"")</f>
        <v/>
      </c>
      <c r="N276">
        <f t="shared" si="26"/>
        <v>0</v>
      </c>
      <c r="O276">
        <f>IF(AND($N276=1,'All Data'!$E276&lt;&gt;"",COUNTIFS($N$2:N275,1,'All Data'!$E$2:$E275,'All Data'!$E276)=0),1,0)</f>
        <v>0</v>
      </c>
      <c r="P276" t="str">
        <f>IF($O276=1,SUM($O$2:O276),"")</f>
        <v/>
      </c>
      <c r="Q276">
        <f t="shared" si="27"/>
        <v>0</v>
      </c>
      <c r="R276">
        <f>IF(AND($Q276=1,'All Data'!$F276&lt;&gt;"",COUNTIFS($Q$2:Q275,1,'All Data'!$F$2:$F275,'All Data'!$F276)=0),1,0)</f>
        <v>0</v>
      </c>
      <c r="S276" t="str">
        <f>IF($R276=1,SUM($R$2:R276),"")</f>
        <v/>
      </c>
      <c r="T276">
        <f t="shared" si="28"/>
        <v>0</v>
      </c>
      <c r="U276">
        <f>IF(AND($T276=1,'All Data'!$G276&lt;&gt;"",COUNTIFS($T$2:T275,1,'All Data'!$G$2:$G275,'All Data'!$G276)=0),1,0)</f>
        <v>0</v>
      </c>
      <c r="V276" t="str">
        <f>IF($U276=1,SUM($U$2:U276),"")</f>
        <v/>
      </c>
      <c r="W276">
        <f t="shared" si="29"/>
        <v>0</v>
      </c>
      <c r="X276" t="str">
        <f>IF($W276=1,SUM($W$2:W276),"")</f>
        <v/>
      </c>
    </row>
    <row r="277" spans="1:24" x14ac:dyDescent="0.3">
      <c r="A277">
        <f>IF(OR($BA1="Any",$BA1=""),1,IF('All Data'!$B277=$BA1,1,0))</f>
        <v>0</v>
      </c>
      <c r="B277">
        <f>IF(OR($BA2="Any",$BA2=""),1,IF('All Data'!$C277=$BA2,1,0))</f>
        <v>1</v>
      </c>
      <c r="C277">
        <f>IF(OR($BA3="Any",$BA3=""),1,IF('All Data'!$D277=$BA3,1,0))</f>
        <v>1</v>
      </c>
      <c r="D277">
        <f>IF(OR($BA4="Any",$BA4=""),1,IF('All Data'!$E277=$BA4,1,0))</f>
        <v>1</v>
      </c>
      <c r="E277">
        <f>IF(OR($BA5="Any",$BA5=""),1,IF('All Data'!$F277=$BA5,1,0))</f>
        <v>1</v>
      </c>
      <c r="F277">
        <f>IF(OR($BA6="Any",$BA6=""),1,IF('All Data'!$G277=$BA6,1,0))</f>
        <v>0</v>
      </c>
      <c r="G277">
        <f>IF(AND(OR($BA$8="",ISNUMBER(SEARCH($BA$8,'All Data'!$K277&amp;" "&amp;'All Data'!$M277))),OR($BA$9="",ISNUMBER(SEARCH($BA$9,'All Data'!$K277&amp;" "&amp;'All Data'!$M277))),OR($BA$10="",ISNUMBER(SEARCH($BA$10,'All Data'!$K277&amp;" "&amp;'All Data'!$M277))),OR($BA$11="",ISNUMBER(SEARCH($BA$11,'All Data'!$K277&amp;" "&amp;'All Data'!$M277))),OR($BA$12="",ISNUMBER(SEARCH($BA$12,'All Data'!$K277&amp;" "&amp;'All Data'!$M277))),OR($BA$13="",ISNUMBER(SEARCH($BA$13,'All Data'!$K277&amp;" "&amp;'All Data'!$M277))),OR($BA$14="",ISNUMBER(SEARCH($BA$14,'All Data'!$K277&amp;" "&amp;'All Data'!$M277))),OR($BA$15="",ISNUMBER(SEARCH($BA$15,'All Data'!$K277&amp;" "&amp;'All Data'!$M277)))),1,0)</f>
        <v>1</v>
      </c>
      <c r="H277">
        <f t="shared" si="24"/>
        <v>0</v>
      </c>
      <c r="I277">
        <f>IF(AND($H277=1,'All Data'!$C277&lt;&gt;"",COUNTIFS($H$2:H276,1,'All Data'!$C$2:$C276,'All Data'!$C277)=0),1,0)</f>
        <v>0</v>
      </c>
      <c r="J277" t="str">
        <f>IF($I277=1,SUM($I$2:I277),"")</f>
        <v/>
      </c>
      <c r="K277">
        <f t="shared" si="25"/>
        <v>0</v>
      </c>
      <c r="L277">
        <f>IF(AND($K277=1,'All Data'!$D277&lt;&gt;"",COUNTIFS($K$2:K276,1,'All Data'!$D$2:$D276,'All Data'!$D277)=0),1,0)</f>
        <v>0</v>
      </c>
      <c r="M277" t="str">
        <f>IF($L277=1,SUM($L$2:L277),"")</f>
        <v/>
      </c>
      <c r="N277">
        <f t="shared" si="26"/>
        <v>0</v>
      </c>
      <c r="O277">
        <f>IF(AND($N277=1,'All Data'!$E277&lt;&gt;"",COUNTIFS($N$2:N276,1,'All Data'!$E$2:$E276,'All Data'!$E277)=0),1,0)</f>
        <v>0</v>
      </c>
      <c r="P277" t="str">
        <f>IF($O277=1,SUM($O$2:O277),"")</f>
        <v/>
      </c>
      <c r="Q277">
        <f t="shared" si="27"/>
        <v>0</v>
      </c>
      <c r="R277">
        <f>IF(AND($Q277=1,'All Data'!$F277&lt;&gt;"",COUNTIFS($Q$2:Q276,1,'All Data'!$F$2:$F276,'All Data'!$F277)=0),1,0)</f>
        <v>0</v>
      </c>
      <c r="S277" t="str">
        <f>IF($R277=1,SUM($R$2:R277),"")</f>
        <v/>
      </c>
      <c r="T277">
        <f t="shared" si="28"/>
        <v>0</v>
      </c>
      <c r="U277">
        <f>IF(AND($T277=1,'All Data'!$G277&lt;&gt;"",COUNTIFS($T$2:T276,1,'All Data'!$G$2:$G276,'All Data'!$G277)=0),1,0)</f>
        <v>0</v>
      </c>
      <c r="V277" t="str">
        <f>IF($U277=1,SUM($U$2:U277),"")</f>
        <v/>
      </c>
      <c r="W277">
        <f t="shared" si="29"/>
        <v>0</v>
      </c>
      <c r="X277" t="str">
        <f>IF($W277=1,SUM($W$2:W277),"")</f>
        <v/>
      </c>
    </row>
    <row r="278" spans="1:24" x14ac:dyDescent="0.3">
      <c r="A278">
        <f>IF(OR($BA1="Any",$BA1=""),1,IF('All Data'!$B278=$BA1,1,0))</f>
        <v>0</v>
      </c>
      <c r="B278">
        <f>IF(OR($BA2="Any",$BA2=""),1,IF('All Data'!$C278=$BA2,1,0))</f>
        <v>1</v>
      </c>
      <c r="C278">
        <f>IF(OR($BA3="Any",$BA3=""),1,IF('All Data'!$D278=$BA3,1,0))</f>
        <v>1</v>
      </c>
      <c r="D278">
        <f>IF(OR($BA4="Any",$BA4=""),1,IF('All Data'!$E278=$BA4,1,0))</f>
        <v>1</v>
      </c>
      <c r="E278">
        <f>IF(OR($BA5="Any",$BA5=""),1,IF('All Data'!$F278=$BA5,1,0))</f>
        <v>1</v>
      </c>
      <c r="F278">
        <f>IF(OR($BA6="Any",$BA6=""),1,IF('All Data'!$G278=$BA6,1,0))</f>
        <v>0</v>
      </c>
      <c r="G278">
        <f>IF(AND(OR($BA$8="",ISNUMBER(SEARCH($BA$8,'All Data'!$K278&amp;" "&amp;'All Data'!$M278))),OR($BA$9="",ISNUMBER(SEARCH($BA$9,'All Data'!$K278&amp;" "&amp;'All Data'!$M278))),OR($BA$10="",ISNUMBER(SEARCH($BA$10,'All Data'!$K278&amp;" "&amp;'All Data'!$M278))),OR($BA$11="",ISNUMBER(SEARCH($BA$11,'All Data'!$K278&amp;" "&amp;'All Data'!$M278))),OR($BA$12="",ISNUMBER(SEARCH($BA$12,'All Data'!$K278&amp;" "&amp;'All Data'!$M278))),OR($BA$13="",ISNUMBER(SEARCH($BA$13,'All Data'!$K278&amp;" "&amp;'All Data'!$M278))),OR($BA$14="",ISNUMBER(SEARCH($BA$14,'All Data'!$K278&amp;" "&amp;'All Data'!$M278))),OR($BA$15="",ISNUMBER(SEARCH($BA$15,'All Data'!$K278&amp;" "&amp;'All Data'!$M278)))),1,0)</f>
        <v>1</v>
      </c>
      <c r="H278">
        <f t="shared" si="24"/>
        <v>0</v>
      </c>
      <c r="I278">
        <f>IF(AND($H278=1,'All Data'!$C278&lt;&gt;"",COUNTIFS($H$2:H277,1,'All Data'!$C$2:$C277,'All Data'!$C278)=0),1,0)</f>
        <v>0</v>
      </c>
      <c r="J278" t="str">
        <f>IF($I278=1,SUM($I$2:I278),"")</f>
        <v/>
      </c>
      <c r="K278">
        <f t="shared" si="25"/>
        <v>0</v>
      </c>
      <c r="L278">
        <f>IF(AND($K278=1,'All Data'!$D278&lt;&gt;"",COUNTIFS($K$2:K277,1,'All Data'!$D$2:$D277,'All Data'!$D278)=0),1,0)</f>
        <v>0</v>
      </c>
      <c r="M278" t="str">
        <f>IF($L278=1,SUM($L$2:L278),"")</f>
        <v/>
      </c>
      <c r="N278">
        <f t="shared" si="26"/>
        <v>0</v>
      </c>
      <c r="O278">
        <f>IF(AND($N278=1,'All Data'!$E278&lt;&gt;"",COUNTIFS($N$2:N277,1,'All Data'!$E$2:$E277,'All Data'!$E278)=0),1,0)</f>
        <v>0</v>
      </c>
      <c r="P278" t="str">
        <f>IF($O278=1,SUM($O$2:O278),"")</f>
        <v/>
      </c>
      <c r="Q278">
        <f t="shared" si="27"/>
        <v>0</v>
      </c>
      <c r="R278">
        <f>IF(AND($Q278=1,'All Data'!$F278&lt;&gt;"",COUNTIFS($Q$2:Q277,1,'All Data'!$F$2:$F277,'All Data'!$F278)=0),1,0)</f>
        <v>0</v>
      </c>
      <c r="S278" t="str">
        <f>IF($R278=1,SUM($R$2:R278),"")</f>
        <v/>
      </c>
      <c r="T278">
        <f t="shared" si="28"/>
        <v>0</v>
      </c>
      <c r="U278">
        <f>IF(AND($T278=1,'All Data'!$G278&lt;&gt;"",COUNTIFS($T$2:T277,1,'All Data'!$G$2:$G277,'All Data'!$G278)=0),1,0)</f>
        <v>0</v>
      </c>
      <c r="V278" t="str">
        <f>IF($U278=1,SUM($U$2:U278),"")</f>
        <v/>
      </c>
      <c r="W278">
        <f t="shared" si="29"/>
        <v>0</v>
      </c>
      <c r="X278" t="str">
        <f>IF($W278=1,SUM($W$2:W278),"")</f>
        <v/>
      </c>
    </row>
    <row r="279" spans="1:24" x14ac:dyDescent="0.3">
      <c r="A279">
        <f>IF(OR($BA1="Any",$BA1=""),1,IF('All Data'!$B279=$BA1,1,0))</f>
        <v>0</v>
      </c>
      <c r="B279">
        <f>IF(OR($BA2="Any",$BA2=""),1,IF('All Data'!$C279=$BA2,1,0))</f>
        <v>1</v>
      </c>
      <c r="C279">
        <f>IF(OR($BA3="Any",$BA3=""),1,IF('All Data'!$D279=$BA3,1,0))</f>
        <v>1</v>
      </c>
      <c r="D279">
        <f>IF(OR($BA4="Any",$BA4=""),1,IF('All Data'!$E279=$BA4,1,0))</f>
        <v>1</v>
      </c>
      <c r="E279">
        <f>IF(OR($BA5="Any",$BA5=""),1,IF('All Data'!$F279=$BA5,1,0))</f>
        <v>1</v>
      </c>
      <c r="F279">
        <f>IF(OR($BA6="Any",$BA6=""),1,IF('All Data'!$G279=$BA6,1,0))</f>
        <v>0</v>
      </c>
      <c r="G279">
        <f>IF(AND(OR($BA$8="",ISNUMBER(SEARCH($BA$8,'All Data'!$K279&amp;" "&amp;'All Data'!$M279))),OR($BA$9="",ISNUMBER(SEARCH($BA$9,'All Data'!$K279&amp;" "&amp;'All Data'!$M279))),OR($BA$10="",ISNUMBER(SEARCH($BA$10,'All Data'!$K279&amp;" "&amp;'All Data'!$M279))),OR($BA$11="",ISNUMBER(SEARCH($BA$11,'All Data'!$K279&amp;" "&amp;'All Data'!$M279))),OR($BA$12="",ISNUMBER(SEARCH($BA$12,'All Data'!$K279&amp;" "&amp;'All Data'!$M279))),OR($BA$13="",ISNUMBER(SEARCH($BA$13,'All Data'!$K279&amp;" "&amp;'All Data'!$M279))),OR($BA$14="",ISNUMBER(SEARCH($BA$14,'All Data'!$K279&amp;" "&amp;'All Data'!$M279))),OR($BA$15="",ISNUMBER(SEARCH($BA$15,'All Data'!$K279&amp;" "&amp;'All Data'!$M279)))),1,0)</f>
        <v>1</v>
      </c>
      <c r="H279">
        <f t="shared" si="24"/>
        <v>0</v>
      </c>
      <c r="I279">
        <f>IF(AND($H279=1,'All Data'!$C279&lt;&gt;"",COUNTIFS($H$2:H278,1,'All Data'!$C$2:$C278,'All Data'!$C279)=0),1,0)</f>
        <v>0</v>
      </c>
      <c r="J279" t="str">
        <f>IF($I279=1,SUM($I$2:I279),"")</f>
        <v/>
      </c>
      <c r="K279">
        <f t="shared" si="25"/>
        <v>0</v>
      </c>
      <c r="L279">
        <f>IF(AND($K279=1,'All Data'!$D279&lt;&gt;"",COUNTIFS($K$2:K278,1,'All Data'!$D$2:$D278,'All Data'!$D279)=0),1,0)</f>
        <v>0</v>
      </c>
      <c r="M279" t="str">
        <f>IF($L279=1,SUM($L$2:L279),"")</f>
        <v/>
      </c>
      <c r="N279">
        <f t="shared" si="26"/>
        <v>0</v>
      </c>
      <c r="O279">
        <f>IF(AND($N279=1,'All Data'!$E279&lt;&gt;"",COUNTIFS($N$2:N278,1,'All Data'!$E$2:$E278,'All Data'!$E279)=0),1,0)</f>
        <v>0</v>
      </c>
      <c r="P279" t="str">
        <f>IF($O279=1,SUM($O$2:O279),"")</f>
        <v/>
      </c>
      <c r="Q279">
        <f t="shared" si="27"/>
        <v>0</v>
      </c>
      <c r="R279">
        <f>IF(AND($Q279=1,'All Data'!$F279&lt;&gt;"",COUNTIFS($Q$2:Q278,1,'All Data'!$F$2:$F278,'All Data'!$F279)=0),1,0)</f>
        <v>0</v>
      </c>
      <c r="S279" t="str">
        <f>IF($R279=1,SUM($R$2:R279),"")</f>
        <v/>
      </c>
      <c r="T279">
        <f t="shared" si="28"/>
        <v>0</v>
      </c>
      <c r="U279">
        <f>IF(AND($T279=1,'All Data'!$G279&lt;&gt;"",COUNTIFS($T$2:T278,1,'All Data'!$G$2:$G278,'All Data'!$G279)=0),1,0)</f>
        <v>0</v>
      </c>
      <c r="V279" t="str">
        <f>IF($U279=1,SUM($U$2:U279),"")</f>
        <v/>
      </c>
      <c r="W279">
        <f t="shared" si="29"/>
        <v>0</v>
      </c>
      <c r="X279" t="str">
        <f>IF($W279=1,SUM($W$2:W279),"")</f>
        <v/>
      </c>
    </row>
    <row r="280" spans="1:24" x14ac:dyDescent="0.3">
      <c r="A280">
        <f>IF(OR($BA1="Any",$BA1=""),1,IF('All Data'!$B280=$BA1,1,0))</f>
        <v>0</v>
      </c>
      <c r="B280">
        <f>IF(OR($BA2="Any",$BA2=""),1,IF('All Data'!$C280=$BA2,1,0))</f>
        <v>1</v>
      </c>
      <c r="C280">
        <f>IF(OR($BA3="Any",$BA3=""),1,IF('All Data'!$D280=$BA3,1,0))</f>
        <v>1</v>
      </c>
      <c r="D280">
        <f>IF(OR($BA4="Any",$BA4=""),1,IF('All Data'!$E280=$BA4,1,0))</f>
        <v>1</v>
      </c>
      <c r="E280">
        <f>IF(OR($BA5="Any",$BA5=""),1,IF('All Data'!$F280=$BA5,1,0))</f>
        <v>1</v>
      </c>
      <c r="F280">
        <f>IF(OR($BA6="Any",$BA6=""),1,IF('All Data'!$G280=$BA6,1,0))</f>
        <v>1</v>
      </c>
      <c r="G280">
        <f>IF(AND(OR($BA$8="",ISNUMBER(SEARCH($BA$8,'All Data'!$K280&amp;" "&amp;'All Data'!$M280))),OR($BA$9="",ISNUMBER(SEARCH($BA$9,'All Data'!$K280&amp;" "&amp;'All Data'!$M280))),OR($BA$10="",ISNUMBER(SEARCH($BA$10,'All Data'!$K280&amp;" "&amp;'All Data'!$M280))),OR($BA$11="",ISNUMBER(SEARCH($BA$11,'All Data'!$K280&amp;" "&amp;'All Data'!$M280))),OR($BA$12="",ISNUMBER(SEARCH($BA$12,'All Data'!$K280&amp;" "&amp;'All Data'!$M280))),OR($BA$13="",ISNUMBER(SEARCH($BA$13,'All Data'!$K280&amp;" "&amp;'All Data'!$M280))),OR($BA$14="",ISNUMBER(SEARCH($BA$14,'All Data'!$K280&amp;" "&amp;'All Data'!$M280))),OR($BA$15="",ISNUMBER(SEARCH($BA$15,'All Data'!$K280&amp;" "&amp;'All Data'!$M280)))),1,0)</f>
        <v>1</v>
      </c>
      <c r="H280">
        <f t="shared" si="24"/>
        <v>0</v>
      </c>
      <c r="I280">
        <f>IF(AND($H280=1,'All Data'!$C280&lt;&gt;"",COUNTIFS($H$2:H279,1,'All Data'!$C$2:$C279,'All Data'!$C280)=0),1,0)</f>
        <v>0</v>
      </c>
      <c r="J280" t="str">
        <f>IF($I280=1,SUM($I$2:I280),"")</f>
        <v/>
      </c>
      <c r="K280">
        <f t="shared" si="25"/>
        <v>0</v>
      </c>
      <c r="L280">
        <f>IF(AND($K280=1,'All Data'!$D280&lt;&gt;"",COUNTIFS($K$2:K279,1,'All Data'!$D$2:$D279,'All Data'!$D280)=0),1,0)</f>
        <v>0</v>
      </c>
      <c r="M280" t="str">
        <f>IF($L280=1,SUM($L$2:L280),"")</f>
        <v/>
      </c>
      <c r="N280">
        <f t="shared" si="26"/>
        <v>0</v>
      </c>
      <c r="O280">
        <f>IF(AND($N280=1,'All Data'!$E280&lt;&gt;"",COUNTIFS($N$2:N279,1,'All Data'!$E$2:$E279,'All Data'!$E280)=0),1,0)</f>
        <v>0</v>
      </c>
      <c r="P280" t="str">
        <f>IF($O280=1,SUM($O$2:O280),"")</f>
        <v/>
      </c>
      <c r="Q280">
        <f t="shared" si="27"/>
        <v>0</v>
      </c>
      <c r="R280">
        <f>IF(AND($Q280=1,'All Data'!$F280&lt;&gt;"",COUNTIFS($Q$2:Q279,1,'All Data'!$F$2:$F279,'All Data'!$F280)=0),1,0)</f>
        <v>0</v>
      </c>
      <c r="S280" t="str">
        <f>IF($R280=1,SUM($R$2:R280),"")</f>
        <v/>
      </c>
      <c r="T280">
        <f t="shared" si="28"/>
        <v>0</v>
      </c>
      <c r="U280">
        <f>IF(AND($T280=1,'All Data'!$G280&lt;&gt;"",COUNTIFS($T$2:T279,1,'All Data'!$G$2:$G279,'All Data'!$G280)=0),1,0)</f>
        <v>0</v>
      </c>
      <c r="V280" t="str">
        <f>IF($U280=1,SUM($U$2:U280),"")</f>
        <v/>
      </c>
      <c r="W280">
        <f t="shared" si="29"/>
        <v>0</v>
      </c>
      <c r="X280" t="str">
        <f>IF($W280=1,SUM($W$2:W280),"")</f>
        <v/>
      </c>
    </row>
    <row r="281" spans="1:24" x14ac:dyDescent="0.3">
      <c r="A281">
        <f>IF(OR($BA1="Any",$BA1=""),1,IF('All Data'!$B281=$BA1,1,0))</f>
        <v>0</v>
      </c>
      <c r="B281">
        <f>IF(OR($BA2="Any",$BA2=""),1,IF('All Data'!$C281=$BA2,1,0))</f>
        <v>1</v>
      </c>
      <c r="C281">
        <f>IF(OR($BA3="Any",$BA3=""),1,IF('All Data'!$D281=$BA3,1,0))</f>
        <v>1</v>
      </c>
      <c r="D281">
        <f>IF(OR($BA4="Any",$BA4=""),1,IF('All Data'!$E281=$BA4,1,0))</f>
        <v>1</v>
      </c>
      <c r="E281">
        <f>IF(OR($BA5="Any",$BA5=""),1,IF('All Data'!$F281=$BA5,1,0))</f>
        <v>1</v>
      </c>
      <c r="F281">
        <f>IF(OR($BA6="Any",$BA6=""),1,IF('All Data'!$G281=$BA6,1,0))</f>
        <v>0</v>
      </c>
      <c r="G281">
        <f>IF(AND(OR($BA$8="",ISNUMBER(SEARCH($BA$8,'All Data'!$K281&amp;" "&amp;'All Data'!$M281))),OR($BA$9="",ISNUMBER(SEARCH($BA$9,'All Data'!$K281&amp;" "&amp;'All Data'!$M281))),OR($BA$10="",ISNUMBER(SEARCH($BA$10,'All Data'!$K281&amp;" "&amp;'All Data'!$M281))),OR($BA$11="",ISNUMBER(SEARCH($BA$11,'All Data'!$K281&amp;" "&amp;'All Data'!$M281))),OR($BA$12="",ISNUMBER(SEARCH($BA$12,'All Data'!$K281&amp;" "&amp;'All Data'!$M281))),OR($BA$13="",ISNUMBER(SEARCH($BA$13,'All Data'!$K281&amp;" "&amp;'All Data'!$M281))),OR($BA$14="",ISNUMBER(SEARCH($BA$14,'All Data'!$K281&amp;" "&amp;'All Data'!$M281))),OR($BA$15="",ISNUMBER(SEARCH($BA$15,'All Data'!$K281&amp;" "&amp;'All Data'!$M281)))),1,0)</f>
        <v>1</v>
      </c>
      <c r="H281">
        <f t="shared" si="24"/>
        <v>0</v>
      </c>
      <c r="I281">
        <f>IF(AND($H281=1,'All Data'!$C281&lt;&gt;"",COUNTIFS($H$2:H280,1,'All Data'!$C$2:$C280,'All Data'!$C281)=0),1,0)</f>
        <v>0</v>
      </c>
      <c r="J281" t="str">
        <f>IF($I281=1,SUM($I$2:I281),"")</f>
        <v/>
      </c>
      <c r="K281">
        <f t="shared" si="25"/>
        <v>0</v>
      </c>
      <c r="L281">
        <f>IF(AND($K281=1,'All Data'!$D281&lt;&gt;"",COUNTIFS($K$2:K280,1,'All Data'!$D$2:$D280,'All Data'!$D281)=0),1,0)</f>
        <v>0</v>
      </c>
      <c r="M281" t="str">
        <f>IF($L281=1,SUM($L$2:L281),"")</f>
        <v/>
      </c>
      <c r="N281">
        <f t="shared" si="26"/>
        <v>0</v>
      </c>
      <c r="O281">
        <f>IF(AND($N281=1,'All Data'!$E281&lt;&gt;"",COUNTIFS($N$2:N280,1,'All Data'!$E$2:$E280,'All Data'!$E281)=0),1,0)</f>
        <v>0</v>
      </c>
      <c r="P281" t="str">
        <f>IF($O281=1,SUM($O$2:O281),"")</f>
        <v/>
      </c>
      <c r="Q281">
        <f t="shared" si="27"/>
        <v>0</v>
      </c>
      <c r="R281">
        <f>IF(AND($Q281=1,'All Data'!$F281&lt;&gt;"",COUNTIFS($Q$2:Q280,1,'All Data'!$F$2:$F280,'All Data'!$F281)=0),1,0)</f>
        <v>0</v>
      </c>
      <c r="S281" t="str">
        <f>IF($R281=1,SUM($R$2:R281),"")</f>
        <v/>
      </c>
      <c r="T281">
        <f t="shared" si="28"/>
        <v>0</v>
      </c>
      <c r="U281">
        <f>IF(AND($T281=1,'All Data'!$G281&lt;&gt;"",COUNTIFS($T$2:T280,1,'All Data'!$G$2:$G280,'All Data'!$G281)=0),1,0)</f>
        <v>0</v>
      </c>
      <c r="V281" t="str">
        <f>IF($U281=1,SUM($U$2:U281),"")</f>
        <v/>
      </c>
      <c r="W281">
        <f t="shared" si="29"/>
        <v>0</v>
      </c>
      <c r="X281" t="str">
        <f>IF($W281=1,SUM($W$2:W281),"")</f>
        <v/>
      </c>
    </row>
    <row r="282" spans="1:24" x14ac:dyDescent="0.3">
      <c r="A282">
        <f>IF(OR($BA1="Any",$BA1=""),1,IF('All Data'!$B282=$BA1,1,0))</f>
        <v>0</v>
      </c>
      <c r="B282">
        <f>IF(OR($BA2="Any",$BA2=""),1,IF('All Data'!$C282=$BA2,1,0))</f>
        <v>1</v>
      </c>
      <c r="C282">
        <f>IF(OR($BA3="Any",$BA3=""),1,IF('All Data'!$D282=$BA3,1,0))</f>
        <v>1</v>
      </c>
      <c r="D282">
        <f>IF(OR($BA4="Any",$BA4=""),1,IF('All Data'!$E282=$BA4,1,0))</f>
        <v>1</v>
      </c>
      <c r="E282">
        <f>IF(OR($BA5="Any",$BA5=""),1,IF('All Data'!$F282=$BA5,1,0))</f>
        <v>1</v>
      </c>
      <c r="F282">
        <f>IF(OR($BA6="Any",$BA6=""),1,IF('All Data'!$G282=$BA6,1,0))</f>
        <v>0</v>
      </c>
      <c r="G282">
        <f>IF(AND(OR($BA$8="",ISNUMBER(SEARCH($BA$8,'All Data'!$K282&amp;" "&amp;'All Data'!$M282))),OR($BA$9="",ISNUMBER(SEARCH($BA$9,'All Data'!$K282&amp;" "&amp;'All Data'!$M282))),OR($BA$10="",ISNUMBER(SEARCH($BA$10,'All Data'!$K282&amp;" "&amp;'All Data'!$M282))),OR($BA$11="",ISNUMBER(SEARCH($BA$11,'All Data'!$K282&amp;" "&amp;'All Data'!$M282))),OR($BA$12="",ISNUMBER(SEARCH($BA$12,'All Data'!$K282&amp;" "&amp;'All Data'!$M282))),OR($BA$13="",ISNUMBER(SEARCH($BA$13,'All Data'!$K282&amp;" "&amp;'All Data'!$M282))),OR($BA$14="",ISNUMBER(SEARCH($BA$14,'All Data'!$K282&amp;" "&amp;'All Data'!$M282))),OR($BA$15="",ISNUMBER(SEARCH($BA$15,'All Data'!$K282&amp;" "&amp;'All Data'!$M282)))),1,0)</f>
        <v>1</v>
      </c>
      <c r="H282">
        <f t="shared" si="24"/>
        <v>0</v>
      </c>
      <c r="I282">
        <f>IF(AND($H282=1,'All Data'!$C282&lt;&gt;"",COUNTIFS($H$2:H281,1,'All Data'!$C$2:$C281,'All Data'!$C282)=0),1,0)</f>
        <v>0</v>
      </c>
      <c r="J282" t="str">
        <f>IF($I282=1,SUM($I$2:I282),"")</f>
        <v/>
      </c>
      <c r="K282">
        <f t="shared" si="25"/>
        <v>0</v>
      </c>
      <c r="L282">
        <f>IF(AND($K282=1,'All Data'!$D282&lt;&gt;"",COUNTIFS($K$2:K281,1,'All Data'!$D$2:$D281,'All Data'!$D282)=0),1,0)</f>
        <v>0</v>
      </c>
      <c r="M282" t="str">
        <f>IF($L282=1,SUM($L$2:L282),"")</f>
        <v/>
      </c>
      <c r="N282">
        <f t="shared" si="26"/>
        <v>0</v>
      </c>
      <c r="O282">
        <f>IF(AND($N282=1,'All Data'!$E282&lt;&gt;"",COUNTIFS($N$2:N281,1,'All Data'!$E$2:$E281,'All Data'!$E282)=0),1,0)</f>
        <v>0</v>
      </c>
      <c r="P282" t="str">
        <f>IF($O282=1,SUM($O$2:O282),"")</f>
        <v/>
      </c>
      <c r="Q282">
        <f t="shared" si="27"/>
        <v>0</v>
      </c>
      <c r="R282">
        <f>IF(AND($Q282=1,'All Data'!$F282&lt;&gt;"",COUNTIFS($Q$2:Q281,1,'All Data'!$F$2:$F281,'All Data'!$F282)=0),1,0)</f>
        <v>0</v>
      </c>
      <c r="S282" t="str">
        <f>IF($R282=1,SUM($R$2:R282),"")</f>
        <v/>
      </c>
      <c r="T282">
        <f t="shared" si="28"/>
        <v>0</v>
      </c>
      <c r="U282">
        <f>IF(AND($T282=1,'All Data'!$G282&lt;&gt;"",COUNTIFS($T$2:T281,1,'All Data'!$G$2:$G281,'All Data'!$G282)=0),1,0)</f>
        <v>0</v>
      </c>
      <c r="V282" t="str">
        <f>IF($U282=1,SUM($U$2:U282),"")</f>
        <v/>
      </c>
      <c r="W282">
        <f t="shared" si="29"/>
        <v>0</v>
      </c>
      <c r="X282" t="str">
        <f>IF($W282=1,SUM($W$2:W282),"")</f>
        <v/>
      </c>
    </row>
    <row r="283" spans="1:24" x14ac:dyDescent="0.3">
      <c r="A283">
        <f>IF(OR($BA1="Any",$BA1=""),1,IF('All Data'!$B283=$BA1,1,0))</f>
        <v>0</v>
      </c>
      <c r="B283">
        <f>IF(OR($BA2="Any",$BA2=""),1,IF('All Data'!$C283=$BA2,1,0))</f>
        <v>1</v>
      </c>
      <c r="C283">
        <f>IF(OR($BA3="Any",$BA3=""),1,IF('All Data'!$D283=$BA3,1,0))</f>
        <v>1</v>
      </c>
      <c r="D283">
        <f>IF(OR($BA4="Any",$BA4=""),1,IF('All Data'!$E283=$BA4,1,0))</f>
        <v>1</v>
      </c>
      <c r="E283">
        <f>IF(OR($BA5="Any",$BA5=""),1,IF('All Data'!$F283=$BA5,1,0))</f>
        <v>1</v>
      </c>
      <c r="F283">
        <f>IF(OR($BA6="Any",$BA6=""),1,IF('All Data'!$G283=$BA6,1,0))</f>
        <v>0</v>
      </c>
      <c r="G283">
        <f>IF(AND(OR($BA$8="",ISNUMBER(SEARCH($BA$8,'All Data'!$K283&amp;" "&amp;'All Data'!$M283))),OR($BA$9="",ISNUMBER(SEARCH($BA$9,'All Data'!$K283&amp;" "&amp;'All Data'!$M283))),OR($BA$10="",ISNUMBER(SEARCH($BA$10,'All Data'!$K283&amp;" "&amp;'All Data'!$M283))),OR($BA$11="",ISNUMBER(SEARCH($BA$11,'All Data'!$K283&amp;" "&amp;'All Data'!$M283))),OR($BA$12="",ISNUMBER(SEARCH($BA$12,'All Data'!$K283&amp;" "&amp;'All Data'!$M283))),OR($BA$13="",ISNUMBER(SEARCH($BA$13,'All Data'!$K283&amp;" "&amp;'All Data'!$M283))),OR($BA$14="",ISNUMBER(SEARCH($BA$14,'All Data'!$K283&amp;" "&amp;'All Data'!$M283))),OR($BA$15="",ISNUMBER(SEARCH($BA$15,'All Data'!$K283&amp;" "&amp;'All Data'!$M283)))),1,0)</f>
        <v>1</v>
      </c>
      <c r="H283">
        <f t="shared" si="24"/>
        <v>0</v>
      </c>
      <c r="I283">
        <f>IF(AND($H283=1,'All Data'!$C283&lt;&gt;"",COUNTIFS($H$2:H282,1,'All Data'!$C$2:$C282,'All Data'!$C283)=0),1,0)</f>
        <v>0</v>
      </c>
      <c r="J283" t="str">
        <f>IF($I283=1,SUM($I$2:I283),"")</f>
        <v/>
      </c>
      <c r="K283">
        <f t="shared" si="25"/>
        <v>0</v>
      </c>
      <c r="L283">
        <f>IF(AND($K283=1,'All Data'!$D283&lt;&gt;"",COUNTIFS($K$2:K282,1,'All Data'!$D$2:$D282,'All Data'!$D283)=0),1,0)</f>
        <v>0</v>
      </c>
      <c r="M283" t="str">
        <f>IF($L283=1,SUM($L$2:L283),"")</f>
        <v/>
      </c>
      <c r="N283">
        <f t="shared" si="26"/>
        <v>0</v>
      </c>
      <c r="O283">
        <f>IF(AND($N283=1,'All Data'!$E283&lt;&gt;"",COUNTIFS($N$2:N282,1,'All Data'!$E$2:$E282,'All Data'!$E283)=0),1,0)</f>
        <v>0</v>
      </c>
      <c r="P283" t="str">
        <f>IF($O283=1,SUM($O$2:O283),"")</f>
        <v/>
      </c>
      <c r="Q283">
        <f t="shared" si="27"/>
        <v>0</v>
      </c>
      <c r="R283">
        <f>IF(AND($Q283=1,'All Data'!$F283&lt;&gt;"",COUNTIFS($Q$2:Q282,1,'All Data'!$F$2:$F282,'All Data'!$F283)=0),1,0)</f>
        <v>0</v>
      </c>
      <c r="S283" t="str">
        <f>IF($R283=1,SUM($R$2:R283),"")</f>
        <v/>
      </c>
      <c r="T283">
        <f t="shared" si="28"/>
        <v>0</v>
      </c>
      <c r="U283">
        <f>IF(AND($T283=1,'All Data'!$G283&lt;&gt;"",COUNTIFS($T$2:T282,1,'All Data'!$G$2:$G282,'All Data'!$G283)=0),1,0)</f>
        <v>0</v>
      </c>
      <c r="V283" t="str">
        <f>IF($U283=1,SUM($U$2:U283),"")</f>
        <v/>
      </c>
      <c r="W283">
        <f t="shared" si="29"/>
        <v>0</v>
      </c>
      <c r="X283" t="str">
        <f>IF($W283=1,SUM($W$2:W283),"")</f>
        <v/>
      </c>
    </row>
    <row r="284" spans="1:24" x14ac:dyDescent="0.3">
      <c r="A284">
        <f>IF(OR($BA1="Any",$BA1=""),1,IF('All Data'!$B284=$BA1,1,0))</f>
        <v>0</v>
      </c>
      <c r="B284">
        <f>IF(OR($BA2="Any",$BA2=""),1,IF('All Data'!$C284=$BA2,1,0))</f>
        <v>1</v>
      </c>
      <c r="C284">
        <f>IF(OR($BA3="Any",$BA3=""),1,IF('All Data'!$D284=$BA3,1,0))</f>
        <v>1</v>
      </c>
      <c r="D284">
        <f>IF(OR($BA4="Any",$BA4=""),1,IF('All Data'!$E284=$BA4,1,0))</f>
        <v>1</v>
      </c>
      <c r="E284">
        <f>IF(OR($BA5="Any",$BA5=""),1,IF('All Data'!$F284=$BA5,1,0))</f>
        <v>1</v>
      </c>
      <c r="F284">
        <f>IF(OR($BA6="Any",$BA6=""),1,IF('All Data'!$G284=$BA6,1,0))</f>
        <v>0</v>
      </c>
      <c r="G284">
        <f>IF(AND(OR($BA$8="",ISNUMBER(SEARCH($BA$8,'All Data'!$K284&amp;" "&amp;'All Data'!$M284))),OR($BA$9="",ISNUMBER(SEARCH($BA$9,'All Data'!$K284&amp;" "&amp;'All Data'!$M284))),OR($BA$10="",ISNUMBER(SEARCH($BA$10,'All Data'!$K284&amp;" "&amp;'All Data'!$M284))),OR($BA$11="",ISNUMBER(SEARCH($BA$11,'All Data'!$K284&amp;" "&amp;'All Data'!$M284))),OR($BA$12="",ISNUMBER(SEARCH($BA$12,'All Data'!$K284&amp;" "&amp;'All Data'!$M284))),OR($BA$13="",ISNUMBER(SEARCH($BA$13,'All Data'!$K284&amp;" "&amp;'All Data'!$M284))),OR($BA$14="",ISNUMBER(SEARCH($BA$14,'All Data'!$K284&amp;" "&amp;'All Data'!$M284))),OR($BA$15="",ISNUMBER(SEARCH($BA$15,'All Data'!$K284&amp;" "&amp;'All Data'!$M284)))),1,0)</f>
        <v>1</v>
      </c>
      <c r="H284">
        <f t="shared" si="24"/>
        <v>0</v>
      </c>
      <c r="I284">
        <f>IF(AND($H284=1,'All Data'!$C284&lt;&gt;"",COUNTIFS($H$2:H283,1,'All Data'!$C$2:$C283,'All Data'!$C284)=0),1,0)</f>
        <v>0</v>
      </c>
      <c r="J284" t="str">
        <f>IF($I284=1,SUM($I$2:I284),"")</f>
        <v/>
      </c>
      <c r="K284">
        <f t="shared" si="25"/>
        <v>0</v>
      </c>
      <c r="L284">
        <f>IF(AND($K284=1,'All Data'!$D284&lt;&gt;"",COUNTIFS($K$2:K283,1,'All Data'!$D$2:$D283,'All Data'!$D284)=0),1,0)</f>
        <v>0</v>
      </c>
      <c r="M284" t="str">
        <f>IF($L284=1,SUM($L$2:L284),"")</f>
        <v/>
      </c>
      <c r="N284">
        <f t="shared" si="26"/>
        <v>0</v>
      </c>
      <c r="O284">
        <f>IF(AND($N284=1,'All Data'!$E284&lt;&gt;"",COUNTIFS($N$2:N283,1,'All Data'!$E$2:$E283,'All Data'!$E284)=0),1,0)</f>
        <v>0</v>
      </c>
      <c r="P284" t="str">
        <f>IF($O284=1,SUM($O$2:O284),"")</f>
        <v/>
      </c>
      <c r="Q284">
        <f t="shared" si="27"/>
        <v>0</v>
      </c>
      <c r="R284">
        <f>IF(AND($Q284=1,'All Data'!$F284&lt;&gt;"",COUNTIFS($Q$2:Q283,1,'All Data'!$F$2:$F283,'All Data'!$F284)=0),1,0)</f>
        <v>0</v>
      </c>
      <c r="S284" t="str">
        <f>IF($R284=1,SUM($R$2:R284),"")</f>
        <v/>
      </c>
      <c r="T284">
        <f t="shared" si="28"/>
        <v>0</v>
      </c>
      <c r="U284">
        <f>IF(AND($T284=1,'All Data'!$G284&lt;&gt;"",COUNTIFS($T$2:T283,1,'All Data'!$G$2:$G283,'All Data'!$G284)=0),1,0)</f>
        <v>0</v>
      </c>
      <c r="V284" t="str">
        <f>IF($U284=1,SUM($U$2:U284),"")</f>
        <v/>
      </c>
      <c r="W284">
        <f t="shared" si="29"/>
        <v>0</v>
      </c>
      <c r="X284" t="str">
        <f>IF($W284=1,SUM($W$2:W284),"")</f>
        <v/>
      </c>
    </row>
    <row r="285" spans="1:24" x14ac:dyDescent="0.3">
      <c r="A285">
        <f>IF(OR($BA1="Any",$BA1=""),1,IF('All Data'!$B285=$BA1,1,0))</f>
        <v>0</v>
      </c>
      <c r="B285">
        <f>IF(OR($BA2="Any",$BA2=""),1,IF('All Data'!$C285=$BA2,1,0))</f>
        <v>1</v>
      </c>
      <c r="C285">
        <f>IF(OR($BA3="Any",$BA3=""),1,IF('All Data'!$D285=$BA3,1,0))</f>
        <v>1</v>
      </c>
      <c r="D285">
        <f>IF(OR($BA4="Any",$BA4=""),1,IF('All Data'!$E285=$BA4,1,0))</f>
        <v>1</v>
      </c>
      <c r="E285">
        <f>IF(OR($BA5="Any",$BA5=""),1,IF('All Data'!$F285=$BA5,1,0))</f>
        <v>1</v>
      </c>
      <c r="F285">
        <f>IF(OR($BA6="Any",$BA6=""),1,IF('All Data'!$G285=$BA6,1,0))</f>
        <v>1</v>
      </c>
      <c r="G285">
        <f>IF(AND(OR($BA$8="",ISNUMBER(SEARCH($BA$8,'All Data'!$K285&amp;" "&amp;'All Data'!$M285))),OR($BA$9="",ISNUMBER(SEARCH($BA$9,'All Data'!$K285&amp;" "&amp;'All Data'!$M285))),OR($BA$10="",ISNUMBER(SEARCH($BA$10,'All Data'!$K285&amp;" "&amp;'All Data'!$M285))),OR($BA$11="",ISNUMBER(SEARCH($BA$11,'All Data'!$K285&amp;" "&amp;'All Data'!$M285))),OR($BA$12="",ISNUMBER(SEARCH($BA$12,'All Data'!$K285&amp;" "&amp;'All Data'!$M285))),OR($BA$13="",ISNUMBER(SEARCH($BA$13,'All Data'!$K285&amp;" "&amp;'All Data'!$M285))),OR($BA$14="",ISNUMBER(SEARCH($BA$14,'All Data'!$K285&amp;" "&amp;'All Data'!$M285))),OR($BA$15="",ISNUMBER(SEARCH($BA$15,'All Data'!$K285&amp;" "&amp;'All Data'!$M285)))),1,0)</f>
        <v>1</v>
      </c>
      <c r="H285">
        <f t="shared" si="24"/>
        <v>0</v>
      </c>
      <c r="I285">
        <f>IF(AND($H285=1,'All Data'!$C285&lt;&gt;"",COUNTIFS($H$2:H284,1,'All Data'!$C$2:$C284,'All Data'!$C285)=0),1,0)</f>
        <v>0</v>
      </c>
      <c r="J285" t="str">
        <f>IF($I285=1,SUM($I$2:I285),"")</f>
        <v/>
      </c>
      <c r="K285">
        <f t="shared" si="25"/>
        <v>0</v>
      </c>
      <c r="L285">
        <f>IF(AND($K285=1,'All Data'!$D285&lt;&gt;"",COUNTIFS($K$2:K284,1,'All Data'!$D$2:$D284,'All Data'!$D285)=0),1,0)</f>
        <v>0</v>
      </c>
      <c r="M285" t="str">
        <f>IF($L285=1,SUM($L$2:L285),"")</f>
        <v/>
      </c>
      <c r="N285">
        <f t="shared" si="26"/>
        <v>0</v>
      </c>
      <c r="O285">
        <f>IF(AND($N285=1,'All Data'!$E285&lt;&gt;"",COUNTIFS($N$2:N284,1,'All Data'!$E$2:$E284,'All Data'!$E285)=0),1,0)</f>
        <v>0</v>
      </c>
      <c r="P285" t="str">
        <f>IF($O285=1,SUM($O$2:O285),"")</f>
        <v/>
      </c>
      <c r="Q285">
        <f t="shared" si="27"/>
        <v>0</v>
      </c>
      <c r="R285">
        <f>IF(AND($Q285=1,'All Data'!$F285&lt;&gt;"",COUNTIFS($Q$2:Q284,1,'All Data'!$F$2:$F284,'All Data'!$F285)=0),1,0)</f>
        <v>0</v>
      </c>
      <c r="S285" t="str">
        <f>IF($R285=1,SUM($R$2:R285),"")</f>
        <v/>
      </c>
      <c r="T285">
        <f t="shared" si="28"/>
        <v>0</v>
      </c>
      <c r="U285">
        <f>IF(AND($T285=1,'All Data'!$G285&lt;&gt;"",COUNTIFS($T$2:T284,1,'All Data'!$G$2:$G284,'All Data'!$G285)=0),1,0)</f>
        <v>0</v>
      </c>
      <c r="V285" t="str">
        <f>IF($U285=1,SUM($U$2:U285),"")</f>
        <v/>
      </c>
      <c r="W285">
        <f t="shared" si="29"/>
        <v>0</v>
      </c>
      <c r="X285" t="str">
        <f>IF($W285=1,SUM($W$2:W285),"")</f>
        <v/>
      </c>
    </row>
    <row r="286" spans="1:24" x14ac:dyDescent="0.3">
      <c r="A286">
        <f>IF(OR($BA1="Any",$BA1=""),1,IF('All Data'!$B286=$BA1,1,0))</f>
        <v>0</v>
      </c>
      <c r="B286">
        <f>IF(OR($BA2="Any",$BA2=""),1,IF('All Data'!$C286=$BA2,1,0))</f>
        <v>1</v>
      </c>
      <c r="C286">
        <f>IF(OR($BA3="Any",$BA3=""),1,IF('All Data'!$D286=$BA3,1,0))</f>
        <v>1</v>
      </c>
      <c r="D286">
        <f>IF(OR($BA4="Any",$BA4=""),1,IF('All Data'!$E286=$BA4,1,0))</f>
        <v>1</v>
      </c>
      <c r="E286">
        <f>IF(OR($BA5="Any",$BA5=""),1,IF('All Data'!$F286=$BA5,1,0))</f>
        <v>1</v>
      </c>
      <c r="F286">
        <f>IF(OR($BA6="Any",$BA6=""),1,IF('All Data'!$G286=$BA6,1,0))</f>
        <v>0</v>
      </c>
      <c r="G286">
        <f>IF(AND(OR($BA$8="",ISNUMBER(SEARCH($BA$8,'All Data'!$K286&amp;" "&amp;'All Data'!$M286))),OR($BA$9="",ISNUMBER(SEARCH($BA$9,'All Data'!$K286&amp;" "&amp;'All Data'!$M286))),OR($BA$10="",ISNUMBER(SEARCH($BA$10,'All Data'!$K286&amp;" "&amp;'All Data'!$M286))),OR($BA$11="",ISNUMBER(SEARCH($BA$11,'All Data'!$K286&amp;" "&amp;'All Data'!$M286))),OR($BA$12="",ISNUMBER(SEARCH($BA$12,'All Data'!$K286&amp;" "&amp;'All Data'!$M286))),OR($BA$13="",ISNUMBER(SEARCH($BA$13,'All Data'!$K286&amp;" "&amp;'All Data'!$M286))),OR($BA$14="",ISNUMBER(SEARCH($BA$14,'All Data'!$K286&amp;" "&amp;'All Data'!$M286))),OR($BA$15="",ISNUMBER(SEARCH($BA$15,'All Data'!$K286&amp;" "&amp;'All Data'!$M286)))),1,0)</f>
        <v>1</v>
      </c>
      <c r="H286">
        <f t="shared" si="24"/>
        <v>0</v>
      </c>
      <c r="I286">
        <f>IF(AND($H286=1,'All Data'!$C286&lt;&gt;"",COUNTIFS($H$2:H285,1,'All Data'!$C$2:$C285,'All Data'!$C286)=0),1,0)</f>
        <v>0</v>
      </c>
      <c r="J286" t="str">
        <f>IF($I286=1,SUM($I$2:I286),"")</f>
        <v/>
      </c>
      <c r="K286">
        <f t="shared" si="25"/>
        <v>0</v>
      </c>
      <c r="L286">
        <f>IF(AND($K286=1,'All Data'!$D286&lt;&gt;"",COUNTIFS($K$2:K285,1,'All Data'!$D$2:$D285,'All Data'!$D286)=0),1,0)</f>
        <v>0</v>
      </c>
      <c r="M286" t="str">
        <f>IF($L286=1,SUM($L$2:L286),"")</f>
        <v/>
      </c>
      <c r="N286">
        <f t="shared" si="26"/>
        <v>0</v>
      </c>
      <c r="O286">
        <f>IF(AND($N286=1,'All Data'!$E286&lt;&gt;"",COUNTIFS($N$2:N285,1,'All Data'!$E$2:$E285,'All Data'!$E286)=0),1,0)</f>
        <v>0</v>
      </c>
      <c r="P286" t="str">
        <f>IF($O286=1,SUM($O$2:O286),"")</f>
        <v/>
      </c>
      <c r="Q286">
        <f t="shared" si="27"/>
        <v>0</v>
      </c>
      <c r="R286">
        <f>IF(AND($Q286=1,'All Data'!$F286&lt;&gt;"",COUNTIFS($Q$2:Q285,1,'All Data'!$F$2:$F285,'All Data'!$F286)=0),1,0)</f>
        <v>0</v>
      </c>
      <c r="S286" t="str">
        <f>IF($R286=1,SUM($R$2:R286),"")</f>
        <v/>
      </c>
      <c r="T286">
        <f t="shared" si="28"/>
        <v>0</v>
      </c>
      <c r="U286">
        <f>IF(AND($T286=1,'All Data'!$G286&lt;&gt;"",COUNTIFS($T$2:T285,1,'All Data'!$G$2:$G285,'All Data'!$G286)=0),1,0)</f>
        <v>0</v>
      </c>
      <c r="V286" t="str">
        <f>IF($U286=1,SUM($U$2:U286),"")</f>
        <v/>
      </c>
      <c r="W286">
        <f t="shared" si="29"/>
        <v>0</v>
      </c>
      <c r="X286" t="str">
        <f>IF($W286=1,SUM($W$2:W286),"")</f>
        <v/>
      </c>
    </row>
    <row r="287" spans="1:24" x14ac:dyDescent="0.3">
      <c r="A287">
        <f>IF(OR($BA1="Any",$BA1=""),1,IF('All Data'!$B287=$BA1,1,0))</f>
        <v>0</v>
      </c>
      <c r="B287">
        <f>IF(OR($BA2="Any",$BA2=""),1,IF('All Data'!$C287=$BA2,1,0))</f>
        <v>1</v>
      </c>
      <c r="C287">
        <f>IF(OR($BA3="Any",$BA3=""),1,IF('All Data'!$D287=$BA3,1,0))</f>
        <v>1</v>
      </c>
      <c r="D287">
        <f>IF(OR($BA4="Any",$BA4=""),1,IF('All Data'!$E287=$BA4,1,0))</f>
        <v>1</v>
      </c>
      <c r="E287">
        <f>IF(OR($BA5="Any",$BA5=""),1,IF('All Data'!$F287=$BA5,1,0))</f>
        <v>1</v>
      </c>
      <c r="F287">
        <f>IF(OR($BA6="Any",$BA6=""),1,IF('All Data'!$G287=$BA6,1,0))</f>
        <v>0</v>
      </c>
      <c r="G287">
        <f>IF(AND(OR($BA$8="",ISNUMBER(SEARCH($BA$8,'All Data'!$K287&amp;" "&amp;'All Data'!$M287))),OR($BA$9="",ISNUMBER(SEARCH($BA$9,'All Data'!$K287&amp;" "&amp;'All Data'!$M287))),OR($BA$10="",ISNUMBER(SEARCH($BA$10,'All Data'!$K287&amp;" "&amp;'All Data'!$M287))),OR($BA$11="",ISNUMBER(SEARCH($BA$11,'All Data'!$K287&amp;" "&amp;'All Data'!$M287))),OR($BA$12="",ISNUMBER(SEARCH($BA$12,'All Data'!$K287&amp;" "&amp;'All Data'!$M287))),OR($BA$13="",ISNUMBER(SEARCH($BA$13,'All Data'!$K287&amp;" "&amp;'All Data'!$M287))),OR($BA$14="",ISNUMBER(SEARCH($BA$14,'All Data'!$K287&amp;" "&amp;'All Data'!$M287))),OR($BA$15="",ISNUMBER(SEARCH($BA$15,'All Data'!$K287&amp;" "&amp;'All Data'!$M287)))),1,0)</f>
        <v>1</v>
      </c>
      <c r="H287">
        <f t="shared" si="24"/>
        <v>0</v>
      </c>
      <c r="I287">
        <f>IF(AND($H287=1,'All Data'!$C287&lt;&gt;"",COUNTIFS($H$2:H286,1,'All Data'!$C$2:$C286,'All Data'!$C287)=0),1,0)</f>
        <v>0</v>
      </c>
      <c r="J287" t="str">
        <f>IF($I287=1,SUM($I$2:I287),"")</f>
        <v/>
      </c>
      <c r="K287">
        <f t="shared" si="25"/>
        <v>0</v>
      </c>
      <c r="L287">
        <f>IF(AND($K287=1,'All Data'!$D287&lt;&gt;"",COUNTIFS($K$2:K286,1,'All Data'!$D$2:$D286,'All Data'!$D287)=0),1,0)</f>
        <v>0</v>
      </c>
      <c r="M287" t="str">
        <f>IF($L287=1,SUM($L$2:L287),"")</f>
        <v/>
      </c>
      <c r="N287">
        <f t="shared" si="26"/>
        <v>0</v>
      </c>
      <c r="O287">
        <f>IF(AND($N287=1,'All Data'!$E287&lt;&gt;"",COUNTIFS($N$2:N286,1,'All Data'!$E$2:$E286,'All Data'!$E287)=0),1,0)</f>
        <v>0</v>
      </c>
      <c r="P287" t="str">
        <f>IF($O287=1,SUM($O$2:O287),"")</f>
        <v/>
      </c>
      <c r="Q287">
        <f t="shared" si="27"/>
        <v>0</v>
      </c>
      <c r="R287">
        <f>IF(AND($Q287=1,'All Data'!$F287&lt;&gt;"",COUNTIFS($Q$2:Q286,1,'All Data'!$F$2:$F286,'All Data'!$F287)=0),1,0)</f>
        <v>0</v>
      </c>
      <c r="S287" t="str">
        <f>IF($R287=1,SUM($R$2:R287),"")</f>
        <v/>
      </c>
      <c r="T287">
        <f t="shared" si="28"/>
        <v>0</v>
      </c>
      <c r="U287">
        <f>IF(AND($T287=1,'All Data'!$G287&lt;&gt;"",COUNTIFS($T$2:T286,1,'All Data'!$G$2:$G286,'All Data'!$G287)=0),1,0)</f>
        <v>0</v>
      </c>
      <c r="V287" t="str">
        <f>IF($U287=1,SUM($U$2:U287),"")</f>
        <v/>
      </c>
      <c r="W287">
        <f t="shared" si="29"/>
        <v>0</v>
      </c>
      <c r="X287" t="str">
        <f>IF($W287=1,SUM($W$2:W287),"")</f>
        <v/>
      </c>
    </row>
    <row r="288" spans="1:24" x14ac:dyDescent="0.3">
      <c r="A288">
        <f>IF(OR($BA1="Any",$BA1=""),1,IF('All Data'!$B288=$BA1,1,0))</f>
        <v>0</v>
      </c>
      <c r="B288">
        <f>IF(OR($BA2="Any",$BA2=""),1,IF('All Data'!$C288=$BA2,1,0))</f>
        <v>1</v>
      </c>
      <c r="C288">
        <f>IF(OR($BA3="Any",$BA3=""),1,IF('All Data'!$D288=$BA3,1,0))</f>
        <v>1</v>
      </c>
      <c r="D288">
        <f>IF(OR($BA4="Any",$BA4=""),1,IF('All Data'!$E288=$BA4,1,0))</f>
        <v>1</v>
      </c>
      <c r="E288">
        <f>IF(OR($BA5="Any",$BA5=""),1,IF('All Data'!$F288=$BA5,1,0))</f>
        <v>1</v>
      </c>
      <c r="F288">
        <f>IF(OR($BA6="Any",$BA6=""),1,IF('All Data'!$G288=$BA6,1,0))</f>
        <v>0</v>
      </c>
      <c r="G288">
        <f>IF(AND(OR($BA$8="",ISNUMBER(SEARCH($BA$8,'All Data'!$K288&amp;" "&amp;'All Data'!$M288))),OR($BA$9="",ISNUMBER(SEARCH($BA$9,'All Data'!$K288&amp;" "&amp;'All Data'!$M288))),OR($BA$10="",ISNUMBER(SEARCH($BA$10,'All Data'!$K288&amp;" "&amp;'All Data'!$M288))),OR($BA$11="",ISNUMBER(SEARCH($BA$11,'All Data'!$K288&amp;" "&amp;'All Data'!$M288))),OR($BA$12="",ISNUMBER(SEARCH($BA$12,'All Data'!$K288&amp;" "&amp;'All Data'!$M288))),OR($BA$13="",ISNUMBER(SEARCH($BA$13,'All Data'!$K288&amp;" "&amp;'All Data'!$M288))),OR($BA$14="",ISNUMBER(SEARCH($BA$14,'All Data'!$K288&amp;" "&amp;'All Data'!$M288))),OR($BA$15="",ISNUMBER(SEARCH($BA$15,'All Data'!$K288&amp;" "&amp;'All Data'!$M288)))),1,0)</f>
        <v>1</v>
      </c>
      <c r="H288">
        <f t="shared" si="24"/>
        <v>0</v>
      </c>
      <c r="I288">
        <f>IF(AND($H288=1,'All Data'!$C288&lt;&gt;"",COUNTIFS($H$2:H287,1,'All Data'!$C$2:$C287,'All Data'!$C288)=0),1,0)</f>
        <v>0</v>
      </c>
      <c r="J288" t="str">
        <f>IF($I288=1,SUM($I$2:I288),"")</f>
        <v/>
      </c>
      <c r="K288">
        <f t="shared" si="25"/>
        <v>0</v>
      </c>
      <c r="L288">
        <f>IF(AND($K288=1,'All Data'!$D288&lt;&gt;"",COUNTIFS($K$2:K287,1,'All Data'!$D$2:$D287,'All Data'!$D288)=0),1,0)</f>
        <v>0</v>
      </c>
      <c r="M288" t="str">
        <f>IF($L288=1,SUM($L$2:L288),"")</f>
        <v/>
      </c>
      <c r="N288">
        <f t="shared" si="26"/>
        <v>0</v>
      </c>
      <c r="O288">
        <f>IF(AND($N288=1,'All Data'!$E288&lt;&gt;"",COUNTIFS($N$2:N287,1,'All Data'!$E$2:$E287,'All Data'!$E288)=0),1,0)</f>
        <v>0</v>
      </c>
      <c r="P288" t="str">
        <f>IF($O288=1,SUM($O$2:O288),"")</f>
        <v/>
      </c>
      <c r="Q288">
        <f t="shared" si="27"/>
        <v>0</v>
      </c>
      <c r="R288">
        <f>IF(AND($Q288=1,'All Data'!$F288&lt;&gt;"",COUNTIFS($Q$2:Q287,1,'All Data'!$F$2:$F287,'All Data'!$F288)=0),1,0)</f>
        <v>0</v>
      </c>
      <c r="S288" t="str">
        <f>IF($R288=1,SUM($R$2:R288),"")</f>
        <v/>
      </c>
      <c r="T288">
        <f t="shared" si="28"/>
        <v>0</v>
      </c>
      <c r="U288">
        <f>IF(AND($T288=1,'All Data'!$G288&lt;&gt;"",COUNTIFS($T$2:T287,1,'All Data'!$G$2:$G287,'All Data'!$G288)=0),1,0)</f>
        <v>0</v>
      </c>
      <c r="V288" t="str">
        <f>IF($U288=1,SUM($U$2:U288),"")</f>
        <v/>
      </c>
      <c r="W288">
        <f t="shared" si="29"/>
        <v>0</v>
      </c>
      <c r="X288" t="str">
        <f>IF($W288=1,SUM($W$2:W288),"")</f>
        <v/>
      </c>
    </row>
    <row r="289" spans="1:24" x14ac:dyDescent="0.3">
      <c r="A289">
        <f>IF(OR($BA1="Any",$BA1=""),1,IF('All Data'!$B289=$BA1,1,0))</f>
        <v>0</v>
      </c>
      <c r="B289">
        <f>IF(OR($BA2="Any",$BA2=""),1,IF('All Data'!$C289=$BA2,1,0))</f>
        <v>1</v>
      </c>
      <c r="C289">
        <f>IF(OR($BA3="Any",$BA3=""),1,IF('All Data'!$D289=$BA3,1,0))</f>
        <v>1</v>
      </c>
      <c r="D289">
        <f>IF(OR($BA4="Any",$BA4=""),1,IF('All Data'!$E289=$BA4,1,0))</f>
        <v>1</v>
      </c>
      <c r="E289">
        <f>IF(OR($BA5="Any",$BA5=""),1,IF('All Data'!$F289=$BA5,1,0))</f>
        <v>1</v>
      </c>
      <c r="F289">
        <f>IF(OR($BA6="Any",$BA6=""),1,IF('All Data'!$G289=$BA6,1,0))</f>
        <v>0</v>
      </c>
      <c r="G289">
        <f>IF(AND(OR($BA$8="",ISNUMBER(SEARCH($BA$8,'All Data'!$K289&amp;" "&amp;'All Data'!$M289))),OR($BA$9="",ISNUMBER(SEARCH($BA$9,'All Data'!$K289&amp;" "&amp;'All Data'!$M289))),OR($BA$10="",ISNUMBER(SEARCH($BA$10,'All Data'!$K289&amp;" "&amp;'All Data'!$M289))),OR($BA$11="",ISNUMBER(SEARCH($BA$11,'All Data'!$K289&amp;" "&amp;'All Data'!$M289))),OR($BA$12="",ISNUMBER(SEARCH($BA$12,'All Data'!$K289&amp;" "&amp;'All Data'!$M289))),OR($BA$13="",ISNUMBER(SEARCH($BA$13,'All Data'!$K289&amp;" "&amp;'All Data'!$M289))),OR($BA$14="",ISNUMBER(SEARCH($BA$14,'All Data'!$K289&amp;" "&amp;'All Data'!$M289))),OR($BA$15="",ISNUMBER(SEARCH($BA$15,'All Data'!$K289&amp;" "&amp;'All Data'!$M289)))),1,0)</f>
        <v>1</v>
      </c>
      <c r="H289">
        <f t="shared" si="24"/>
        <v>0</v>
      </c>
      <c r="I289">
        <f>IF(AND($H289=1,'All Data'!$C289&lt;&gt;"",COUNTIFS($H$2:H288,1,'All Data'!$C$2:$C288,'All Data'!$C289)=0),1,0)</f>
        <v>0</v>
      </c>
      <c r="J289" t="str">
        <f>IF($I289=1,SUM($I$2:I289),"")</f>
        <v/>
      </c>
      <c r="K289">
        <f t="shared" si="25"/>
        <v>0</v>
      </c>
      <c r="L289">
        <f>IF(AND($K289=1,'All Data'!$D289&lt;&gt;"",COUNTIFS($K$2:K288,1,'All Data'!$D$2:$D288,'All Data'!$D289)=0),1,0)</f>
        <v>0</v>
      </c>
      <c r="M289" t="str">
        <f>IF($L289=1,SUM($L$2:L289),"")</f>
        <v/>
      </c>
      <c r="N289">
        <f t="shared" si="26"/>
        <v>0</v>
      </c>
      <c r="O289">
        <f>IF(AND($N289=1,'All Data'!$E289&lt;&gt;"",COUNTIFS($N$2:N288,1,'All Data'!$E$2:$E288,'All Data'!$E289)=0),1,0)</f>
        <v>0</v>
      </c>
      <c r="P289" t="str">
        <f>IF($O289=1,SUM($O$2:O289),"")</f>
        <v/>
      </c>
      <c r="Q289">
        <f t="shared" si="27"/>
        <v>0</v>
      </c>
      <c r="R289">
        <f>IF(AND($Q289=1,'All Data'!$F289&lt;&gt;"",COUNTIFS($Q$2:Q288,1,'All Data'!$F$2:$F288,'All Data'!$F289)=0),1,0)</f>
        <v>0</v>
      </c>
      <c r="S289" t="str">
        <f>IF($R289=1,SUM($R$2:R289),"")</f>
        <v/>
      </c>
      <c r="T289">
        <f t="shared" si="28"/>
        <v>0</v>
      </c>
      <c r="U289">
        <f>IF(AND($T289=1,'All Data'!$G289&lt;&gt;"",COUNTIFS($T$2:T288,1,'All Data'!$G$2:$G288,'All Data'!$G289)=0),1,0)</f>
        <v>0</v>
      </c>
      <c r="V289" t="str">
        <f>IF($U289=1,SUM($U$2:U289),"")</f>
        <v/>
      </c>
      <c r="W289">
        <f t="shared" si="29"/>
        <v>0</v>
      </c>
      <c r="X289" t="str">
        <f>IF($W289=1,SUM($W$2:W289),"")</f>
        <v/>
      </c>
    </row>
    <row r="290" spans="1:24" x14ac:dyDescent="0.3">
      <c r="A290">
        <f>IF(OR($BA1="Any",$BA1=""),1,IF('All Data'!$B290=$BA1,1,0))</f>
        <v>0</v>
      </c>
      <c r="B290">
        <f>IF(OR($BA2="Any",$BA2=""),1,IF('All Data'!$C290=$BA2,1,0))</f>
        <v>1</v>
      </c>
      <c r="C290">
        <f>IF(OR($BA3="Any",$BA3=""),1,IF('All Data'!$D290=$BA3,1,0))</f>
        <v>1</v>
      </c>
      <c r="D290">
        <f>IF(OR($BA4="Any",$BA4=""),1,IF('All Data'!$E290=$BA4,1,0))</f>
        <v>1</v>
      </c>
      <c r="E290">
        <f>IF(OR($BA5="Any",$BA5=""),1,IF('All Data'!$F290=$BA5,1,0))</f>
        <v>1</v>
      </c>
      <c r="F290">
        <f>IF(OR($BA6="Any",$BA6=""),1,IF('All Data'!$G290=$BA6,1,0))</f>
        <v>0</v>
      </c>
      <c r="G290">
        <f>IF(AND(OR($BA$8="",ISNUMBER(SEARCH($BA$8,'All Data'!$K290&amp;" "&amp;'All Data'!$M290))),OR($BA$9="",ISNUMBER(SEARCH($BA$9,'All Data'!$K290&amp;" "&amp;'All Data'!$M290))),OR($BA$10="",ISNUMBER(SEARCH($BA$10,'All Data'!$K290&amp;" "&amp;'All Data'!$M290))),OR($BA$11="",ISNUMBER(SEARCH($BA$11,'All Data'!$K290&amp;" "&amp;'All Data'!$M290))),OR($BA$12="",ISNUMBER(SEARCH($BA$12,'All Data'!$K290&amp;" "&amp;'All Data'!$M290))),OR($BA$13="",ISNUMBER(SEARCH($BA$13,'All Data'!$K290&amp;" "&amp;'All Data'!$M290))),OR($BA$14="",ISNUMBER(SEARCH($BA$14,'All Data'!$K290&amp;" "&amp;'All Data'!$M290))),OR($BA$15="",ISNUMBER(SEARCH($BA$15,'All Data'!$K290&amp;" "&amp;'All Data'!$M290)))),1,0)</f>
        <v>1</v>
      </c>
      <c r="H290">
        <f t="shared" si="24"/>
        <v>0</v>
      </c>
      <c r="I290">
        <f>IF(AND($H290=1,'All Data'!$C290&lt;&gt;"",COUNTIFS($H$2:H289,1,'All Data'!$C$2:$C289,'All Data'!$C290)=0),1,0)</f>
        <v>0</v>
      </c>
      <c r="J290" t="str">
        <f>IF($I290=1,SUM($I$2:I290),"")</f>
        <v/>
      </c>
      <c r="K290">
        <f t="shared" si="25"/>
        <v>0</v>
      </c>
      <c r="L290">
        <f>IF(AND($K290=1,'All Data'!$D290&lt;&gt;"",COUNTIFS($K$2:K289,1,'All Data'!$D$2:$D289,'All Data'!$D290)=0),1,0)</f>
        <v>0</v>
      </c>
      <c r="M290" t="str">
        <f>IF($L290=1,SUM($L$2:L290),"")</f>
        <v/>
      </c>
      <c r="N290">
        <f t="shared" si="26"/>
        <v>0</v>
      </c>
      <c r="O290">
        <f>IF(AND($N290=1,'All Data'!$E290&lt;&gt;"",COUNTIFS($N$2:N289,1,'All Data'!$E$2:$E289,'All Data'!$E290)=0),1,0)</f>
        <v>0</v>
      </c>
      <c r="P290" t="str">
        <f>IF($O290=1,SUM($O$2:O290),"")</f>
        <v/>
      </c>
      <c r="Q290">
        <f t="shared" si="27"/>
        <v>0</v>
      </c>
      <c r="R290">
        <f>IF(AND($Q290=1,'All Data'!$F290&lt;&gt;"",COUNTIFS($Q$2:Q289,1,'All Data'!$F$2:$F289,'All Data'!$F290)=0),1,0)</f>
        <v>0</v>
      </c>
      <c r="S290" t="str">
        <f>IF($R290=1,SUM($R$2:R290),"")</f>
        <v/>
      </c>
      <c r="T290">
        <f t="shared" si="28"/>
        <v>0</v>
      </c>
      <c r="U290">
        <f>IF(AND($T290=1,'All Data'!$G290&lt;&gt;"",COUNTIFS($T$2:T289,1,'All Data'!$G$2:$G289,'All Data'!$G290)=0),1,0)</f>
        <v>0</v>
      </c>
      <c r="V290" t="str">
        <f>IF($U290=1,SUM($U$2:U290),"")</f>
        <v/>
      </c>
      <c r="W290">
        <f t="shared" si="29"/>
        <v>0</v>
      </c>
      <c r="X290" t="str">
        <f>IF($W290=1,SUM($W$2:W290),"")</f>
        <v/>
      </c>
    </row>
    <row r="291" spans="1:24" x14ac:dyDescent="0.3">
      <c r="A291">
        <f>IF(OR($BA1="Any",$BA1=""),1,IF('All Data'!$B291=$BA1,1,0))</f>
        <v>0</v>
      </c>
      <c r="B291">
        <f>IF(OR($BA2="Any",$BA2=""),1,IF('All Data'!$C291=$BA2,1,0))</f>
        <v>1</v>
      </c>
      <c r="C291">
        <f>IF(OR($BA3="Any",$BA3=""),1,IF('All Data'!$D291=$BA3,1,0))</f>
        <v>1</v>
      </c>
      <c r="D291">
        <f>IF(OR($BA4="Any",$BA4=""),1,IF('All Data'!$E291=$BA4,1,0))</f>
        <v>1</v>
      </c>
      <c r="E291">
        <f>IF(OR($BA5="Any",$BA5=""),1,IF('All Data'!$F291=$BA5,1,0))</f>
        <v>1</v>
      </c>
      <c r="F291">
        <f>IF(OR($BA6="Any",$BA6=""),1,IF('All Data'!$G291=$BA6,1,0))</f>
        <v>0</v>
      </c>
      <c r="G291">
        <f>IF(AND(OR($BA$8="",ISNUMBER(SEARCH($BA$8,'All Data'!$K291&amp;" "&amp;'All Data'!$M291))),OR($BA$9="",ISNUMBER(SEARCH($BA$9,'All Data'!$K291&amp;" "&amp;'All Data'!$M291))),OR($BA$10="",ISNUMBER(SEARCH($BA$10,'All Data'!$K291&amp;" "&amp;'All Data'!$M291))),OR($BA$11="",ISNUMBER(SEARCH($BA$11,'All Data'!$K291&amp;" "&amp;'All Data'!$M291))),OR($BA$12="",ISNUMBER(SEARCH($BA$12,'All Data'!$K291&amp;" "&amp;'All Data'!$M291))),OR($BA$13="",ISNUMBER(SEARCH($BA$13,'All Data'!$K291&amp;" "&amp;'All Data'!$M291))),OR($BA$14="",ISNUMBER(SEARCH($BA$14,'All Data'!$K291&amp;" "&amp;'All Data'!$M291))),OR($BA$15="",ISNUMBER(SEARCH($BA$15,'All Data'!$K291&amp;" "&amp;'All Data'!$M291)))),1,0)</f>
        <v>1</v>
      </c>
      <c r="H291">
        <f t="shared" si="24"/>
        <v>0</v>
      </c>
      <c r="I291">
        <f>IF(AND($H291=1,'All Data'!$C291&lt;&gt;"",COUNTIFS($H$2:H290,1,'All Data'!$C$2:$C290,'All Data'!$C291)=0),1,0)</f>
        <v>0</v>
      </c>
      <c r="J291" t="str">
        <f>IF($I291=1,SUM($I$2:I291),"")</f>
        <v/>
      </c>
      <c r="K291">
        <f t="shared" si="25"/>
        <v>0</v>
      </c>
      <c r="L291">
        <f>IF(AND($K291=1,'All Data'!$D291&lt;&gt;"",COUNTIFS($K$2:K290,1,'All Data'!$D$2:$D290,'All Data'!$D291)=0),1,0)</f>
        <v>0</v>
      </c>
      <c r="M291" t="str">
        <f>IF($L291=1,SUM($L$2:L291),"")</f>
        <v/>
      </c>
      <c r="N291">
        <f t="shared" si="26"/>
        <v>0</v>
      </c>
      <c r="O291">
        <f>IF(AND($N291=1,'All Data'!$E291&lt;&gt;"",COUNTIFS($N$2:N290,1,'All Data'!$E$2:$E290,'All Data'!$E291)=0),1,0)</f>
        <v>0</v>
      </c>
      <c r="P291" t="str">
        <f>IF($O291=1,SUM($O$2:O291),"")</f>
        <v/>
      </c>
      <c r="Q291">
        <f t="shared" si="27"/>
        <v>0</v>
      </c>
      <c r="R291">
        <f>IF(AND($Q291=1,'All Data'!$F291&lt;&gt;"",COUNTIFS($Q$2:Q290,1,'All Data'!$F$2:$F290,'All Data'!$F291)=0),1,0)</f>
        <v>0</v>
      </c>
      <c r="S291" t="str">
        <f>IF($R291=1,SUM($R$2:R291),"")</f>
        <v/>
      </c>
      <c r="T291">
        <f t="shared" si="28"/>
        <v>0</v>
      </c>
      <c r="U291">
        <f>IF(AND($T291=1,'All Data'!$G291&lt;&gt;"",COUNTIFS($T$2:T290,1,'All Data'!$G$2:$G290,'All Data'!$G291)=0),1,0)</f>
        <v>0</v>
      </c>
      <c r="V291" t="str">
        <f>IF($U291=1,SUM($U$2:U291),"")</f>
        <v/>
      </c>
      <c r="W291">
        <f t="shared" si="29"/>
        <v>0</v>
      </c>
      <c r="X291" t="str">
        <f>IF($W291=1,SUM($W$2:W291),"")</f>
        <v/>
      </c>
    </row>
    <row r="292" spans="1:24" x14ac:dyDescent="0.3">
      <c r="A292">
        <f>IF(OR($BA1="Any",$BA1=""),1,IF('All Data'!$B292=$BA1,1,0))</f>
        <v>0</v>
      </c>
      <c r="B292">
        <f>IF(OR($BA2="Any",$BA2=""),1,IF('All Data'!$C292=$BA2,1,0))</f>
        <v>1</v>
      </c>
      <c r="C292">
        <f>IF(OR($BA3="Any",$BA3=""),1,IF('All Data'!$D292=$BA3,1,0))</f>
        <v>1</v>
      </c>
      <c r="D292">
        <f>IF(OR($BA4="Any",$BA4=""),1,IF('All Data'!$E292=$BA4,1,0))</f>
        <v>1</v>
      </c>
      <c r="E292">
        <f>IF(OR($BA5="Any",$BA5=""),1,IF('All Data'!$F292=$BA5,1,0))</f>
        <v>1</v>
      </c>
      <c r="F292">
        <f>IF(OR($BA6="Any",$BA6=""),1,IF('All Data'!$G292=$BA6,1,0))</f>
        <v>0</v>
      </c>
      <c r="G292">
        <f>IF(AND(OR($BA$8="",ISNUMBER(SEARCH($BA$8,'All Data'!$K292&amp;" "&amp;'All Data'!$M292))),OR($BA$9="",ISNUMBER(SEARCH($BA$9,'All Data'!$K292&amp;" "&amp;'All Data'!$M292))),OR($BA$10="",ISNUMBER(SEARCH($BA$10,'All Data'!$K292&amp;" "&amp;'All Data'!$M292))),OR($BA$11="",ISNUMBER(SEARCH($BA$11,'All Data'!$K292&amp;" "&amp;'All Data'!$M292))),OR($BA$12="",ISNUMBER(SEARCH($BA$12,'All Data'!$K292&amp;" "&amp;'All Data'!$M292))),OR($BA$13="",ISNUMBER(SEARCH($BA$13,'All Data'!$K292&amp;" "&amp;'All Data'!$M292))),OR($BA$14="",ISNUMBER(SEARCH($BA$14,'All Data'!$K292&amp;" "&amp;'All Data'!$M292))),OR($BA$15="",ISNUMBER(SEARCH($BA$15,'All Data'!$K292&amp;" "&amp;'All Data'!$M292)))),1,0)</f>
        <v>1</v>
      </c>
      <c r="H292">
        <f t="shared" si="24"/>
        <v>0</v>
      </c>
      <c r="I292">
        <f>IF(AND($H292=1,'All Data'!$C292&lt;&gt;"",COUNTIFS($H$2:H291,1,'All Data'!$C$2:$C291,'All Data'!$C292)=0),1,0)</f>
        <v>0</v>
      </c>
      <c r="J292" t="str">
        <f>IF($I292=1,SUM($I$2:I292),"")</f>
        <v/>
      </c>
      <c r="K292">
        <f t="shared" si="25"/>
        <v>0</v>
      </c>
      <c r="L292">
        <f>IF(AND($K292=1,'All Data'!$D292&lt;&gt;"",COUNTIFS($K$2:K291,1,'All Data'!$D$2:$D291,'All Data'!$D292)=0),1,0)</f>
        <v>0</v>
      </c>
      <c r="M292" t="str">
        <f>IF($L292=1,SUM($L$2:L292),"")</f>
        <v/>
      </c>
      <c r="N292">
        <f t="shared" si="26"/>
        <v>0</v>
      </c>
      <c r="O292">
        <f>IF(AND($N292=1,'All Data'!$E292&lt;&gt;"",COUNTIFS($N$2:N291,1,'All Data'!$E$2:$E291,'All Data'!$E292)=0),1,0)</f>
        <v>0</v>
      </c>
      <c r="P292" t="str">
        <f>IF($O292=1,SUM($O$2:O292),"")</f>
        <v/>
      </c>
      <c r="Q292">
        <f t="shared" si="27"/>
        <v>0</v>
      </c>
      <c r="R292">
        <f>IF(AND($Q292=1,'All Data'!$F292&lt;&gt;"",COUNTIFS($Q$2:Q291,1,'All Data'!$F$2:$F291,'All Data'!$F292)=0),1,0)</f>
        <v>0</v>
      </c>
      <c r="S292" t="str">
        <f>IF($R292=1,SUM($R$2:R292),"")</f>
        <v/>
      </c>
      <c r="T292">
        <f t="shared" si="28"/>
        <v>0</v>
      </c>
      <c r="U292">
        <f>IF(AND($T292=1,'All Data'!$G292&lt;&gt;"",COUNTIFS($T$2:T291,1,'All Data'!$G$2:$G291,'All Data'!$G292)=0),1,0)</f>
        <v>0</v>
      </c>
      <c r="V292" t="str">
        <f>IF($U292=1,SUM($U$2:U292),"")</f>
        <v/>
      </c>
      <c r="W292">
        <f t="shared" si="29"/>
        <v>0</v>
      </c>
      <c r="X292" t="str">
        <f>IF($W292=1,SUM($W$2:W292),"")</f>
        <v/>
      </c>
    </row>
    <row r="293" spans="1:24" x14ac:dyDescent="0.3">
      <c r="A293">
        <f>IF(OR($BA1="Any",$BA1=""),1,IF('All Data'!$B293=$BA1,1,0))</f>
        <v>0</v>
      </c>
      <c r="B293">
        <f>IF(OR($BA2="Any",$BA2=""),1,IF('All Data'!$C293=$BA2,1,0))</f>
        <v>1</v>
      </c>
      <c r="C293">
        <f>IF(OR($BA3="Any",$BA3=""),1,IF('All Data'!$D293=$BA3,1,0))</f>
        <v>1</v>
      </c>
      <c r="D293">
        <f>IF(OR($BA4="Any",$BA4=""),1,IF('All Data'!$E293=$BA4,1,0))</f>
        <v>1</v>
      </c>
      <c r="E293">
        <f>IF(OR($BA5="Any",$BA5=""),1,IF('All Data'!$F293=$BA5,1,0))</f>
        <v>1</v>
      </c>
      <c r="F293">
        <f>IF(OR($BA6="Any",$BA6=""),1,IF('All Data'!$G293=$BA6,1,0))</f>
        <v>0</v>
      </c>
      <c r="G293">
        <f>IF(AND(OR($BA$8="",ISNUMBER(SEARCH($BA$8,'All Data'!$K293&amp;" "&amp;'All Data'!$M293))),OR($BA$9="",ISNUMBER(SEARCH($BA$9,'All Data'!$K293&amp;" "&amp;'All Data'!$M293))),OR($BA$10="",ISNUMBER(SEARCH($BA$10,'All Data'!$K293&amp;" "&amp;'All Data'!$M293))),OR($BA$11="",ISNUMBER(SEARCH($BA$11,'All Data'!$K293&amp;" "&amp;'All Data'!$M293))),OR($BA$12="",ISNUMBER(SEARCH($BA$12,'All Data'!$K293&amp;" "&amp;'All Data'!$M293))),OR($BA$13="",ISNUMBER(SEARCH($BA$13,'All Data'!$K293&amp;" "&amp;'All Data'!$M293))),OR($BA$14="",ISNUMBER(SEARCH($BA$14,'All Data'!$K293&amp;" "&amp;'All Data'!$M293))),OR($BA$15="",ISNUMBER(SEARCH($BA$15,'All Data'!$K293&amp;" "&amp;'All Data'!$M293)))),1,0)</f>
        <v>1</v>
      </c>
      <c r="H293">
        <f t="shared" si="24"/>
        <v>0</v>
      </c>
      <c r="I293">
        <f>IF(AND($H293=1,'All Data'!$C293&lt;&gt;"",COUNTIFS($H$2:H292,1,'All Data'!$C$2:$C292,'All Data'!$C293)=0),1,0)</f>
        <v>0</v>
      </c>
      <c r="J293" t="str">
        <f>IF($I293=1,SUM($I$2:I293),"")</f>
        <v/>
      </c>
      <c r="K293">
        <f t="shared" si="25"/>
        <v>0</v>
      </c>
      <c r="L293">
        <f>IF(AND($K293=1,'All Data'!$D293&lt;&gt;"",COUNTIFS($K$2:K292,1,'All Data'!$D$2:$D292,'All Data'!$D293)=0),1,0)</f>
        <v>0</v>
      </c>
      <c r="M293" t="str">
        <f>IF($L293=1,SUM($L$2:L293),"")</f>
        <v/>
      </c>
      <c r="N293">
        <f t="shared" si="26"/>
        <v>0</v>
      </c>
      <c r="O293">
        <f>IF(AND($N293=1,'All Data'!$E293&lt;&gt;"",COUNTIFS($N$2:N292,1,'All Data'!$E$2:$E292,'All Data'!$E293)=0),1,0)</f>
        <v>0</v>
      </c>
      <c r="P293" t="str">
        <f>IF($O293=1,SUM($O$2:O293),"")</f>
        <v/>
      </c>
      <c r="Q293">
        <f t="shared" si="27"/>
        <v>0</v>
      </c>
      <c r="R293">
        <f>IF(AND($Q293=1,'All Data'!$F293&lt;&gt;"",COUNTIFS($Q$2:Q292,1,'All Data'!$F$2:$F292,'All Data'!$F293)=0),1,0)</f>
        <v>0</v>
      </c>
      <c r="S293" t="str">
        <f>IF($R293=1,SUM($R$2:R293),"")</f>
        <v/>
      </c>
      <c r="T293">
        <f t="shared" si="28"/>
        <v>0</v>
      </c>
      <c r="U293">
        <f>IF(AND($T293=1,'All Data'!$G293&lt;&gt;"",COUNTIFS($T$2:T292,1,'All Data'!$G$2:$G292,'All Data'!$G293)=0),1,0)</f>
        <v>0</v>
      </c>
      <c r="V293" t="str">
        <f>IF($U293=1,SUM($U$2:U293),"")</f>
        <v/>
      </c>
      <c r="W293">
        <f t="shared" si="29"/>
        <v>0</v>
      </c>
      <c r="X293" t="str">
        <f>IF($W293=1,SUM($W$2:W293),"")</f>
        <v/>
      </c>
    </row>
    <row r="294" spans="1:24" x14ac:dyDescent="0.3">
      <c r="A294">
        <f>IF(OR($BA1="Any",$BA1=""),1,IF('All Data'!$B294=$BA1,1,0))</f>
        <v>0</v>
      </c>
      <c r="B294">
        <f>IF(OR($BA2="Any",$BA2=""),1,IF('All Data'!$C294=$BA2,1,0))</f>
        <v>1</v>
      </c>
      <c r="C294">
        <f>IF(OR($BA3="Any",$BA3=""),1,IF('All Data'!$D294=$BA3,1,0))</f>
        <v>1</v>
      </c>
      <c r="D294">
        <f>IF(OR($BA4="Any",$BA4=""),1,IF('All Data'!$E294=$BA4,1,0))</f>
        <v>1</v>
      </c>
      <c r="E294">
        <f>IF(OR($BA5="Any",$BA5=""),1,IF('All Data'!$F294=$BA5,1,0))</f>
        <v>1</v>
      </c>
      <c r="F294">
        <f>IF(OR($BA6="Any",$BA6=""),1,IF('All Data'!$G294=$BA6,1,0))</f>
        <v>0</v>
      </c>
      <c r="G294">
        <f>IF(AND(OR($BA$8="",ISNUMBER(SEARCH($BA$8,'All Data'!$K294&amp;" "&amp;'All Data'!$M294))),OR($BA$9="",ISNUMBER(SEARCH($BA$9,'All Data'!$K294&amp;" "&amp;'All Data'!$M294))),OR($BA$10="",ISNUMBER(SEARCH($BA$10,'All Data'!$K294&amp;" "&amp;'All Data'!$M294))),OR($BA$11="",ISNUMBER(SEARCH($BA$11,'All Data'!$K294&amp;" "&amp;'All Data'!$M294))),OR($BA$12="",ISNUMBER(SEARCH($BA$12,'All Data'!$K294&amp;" "&amp;'All Data'!$M294))),OR($BA$13="",ISNUMBER(SEARCH($BA$13,'All Data'!$K294&amp;" "&amp;'All Data'!$M294))),OR($BA$14="",ISNUMBER(SEARCH($BA$14,'All Data'!$K294&amp;" "&amp;'All Data'!$M294))),OR($BA$15="",ISNUMBER(SEARCH($BA$15,'All Data'!$K294&amp;" "&amp;'All Data'!$M294)))),1,0)</f>
        <v>1</v>
      </c>
      <c r="H294">
        <f t="shared" si="24"/>
        <v>0</v>
      </c>
      <c r="I294">
        <f>IF(AND($H294=1,'All Data'!$C294&lt;&gt;"",COUNTIFS($H$2:H293,1,'All Data'!$C$2:$C293,'All Data'!$C294)=0),1,0)</f>
        <v>0</v>
      </c>
      <c r="J294" t="str">
        <f>IF($I294=1,SUM($I$2:I294),"")</f>
        <v/>
      </c>
      <c r="K294">
        <f t="shared" si="25"/>
        <v>0</v>
      </c>
      <c r="L294">
        <f>IF(AND($K294=1,'All Data'!$D294&lt;&gt;"",COUNTIFS($K$2:K293,1,'All Data'!$D$2:$D293,'All Data'!$D294)=0),1,0)</f>
        <v>0</v>
      </c>
      <c r="M294" t="str">
        <f>IF($L294=1,SUM($L$2:L294),"")</f>
        <v/>
      </c>
      <c r="N294">
        <f t="shared" si="26"/>
        <v>0</v>
      </c>
      <c r="O294">
        <f>IF(AND($N294=1,'All Data'!$E294&lt;&gt;"",COUNTIFS($N$2:N293,1,'All Data'!$E$2:$E293,'All Data'!$E294)=0),1,0)</f>
        <v>0</v>
      </c>
      <c r="P294" t="str">
        <f>IF($O294=1,SUM($O$2:O294),"")</f>
        <v/>
      </c>
      <c r="Q294">
        <f t="shared" si="27"/>
        <v>0</v>
      </c>
      <c r="R294">
        <f>IF(AND($Q294=1,'All Data'!$F294&lt;&gt;"",COUNTIFS($Q$2:Q293,1,'All Data'!$F$2:$F293,'All Data'!$F294)=0),1,0)</f>
        <v>0</v>
      </c>
      <c r="S294" t="str">
        <f>IF($R294=1,SUM($R$2:R294),"")</f>
        <v/>
      </c>
      <c r="T294">
        <f t="shared" si="28"/>
        <v>0</v>
      </c>
      <c r="U294">
        <f>IF(AND($T294=1,'All Data'!$G294&lt;&gt;"",COUNTIFS($T$2:T293,1,'All Data'!$G$2:$G293,'All Data'!$G294)=0),1,0)</f>
        <v>0</v>
      </c>
      <c r="V294" t="str">
        <f>IF($U294=1,SUM($U$2:U294),"")</f>
        <v/>
      </c>
      <c r="W294">
        <f t="shared" si="29"/>
        <v>0</v>
      </c>
      <c r="X294" t="str">
        <f>IF($W294=1,SUM($W$2:W294),"")</f>
        <v/>
      </c>
    </row>
    <row r="295" spans="1:24" x14ac:dyDescent="0.3">
      <c r="A295">
        <f>IF(OR($BA1="Any",$BA1=""),1,IF('All Data'!$B295=$BA1,1,0))</f>
        <v>0</v>
      </c>
      <c r="B295">
        <f>IF(OR($BA2="Any",$BA2=""),1,IF('All Data'!$C295=$BA2,1,0))</f>
        <v>1</v>
      </c>
      <c r="C295">
        <f>IF(OR($BA3="Any",$BA3=""),1,IF('All Data'!$D295=$BA3,1,0))</f>
        <v>1</v>
      </c>
      <c r="D295">
        <f>IF(OR($BA4="Any",$BA4=""),1,IF('All Data'!$E295=$BA4,1,0))</f>
        <v>1</v>
      </c>
      <c r="E295">
        <f>IF(OR($BA5="Any",$BA5=""),1,IF('All Data'!$F295=$BA5,1,0))</f>
        <v>1</v>
      </c>
      <c r="F295">
        <f>IF(OR($BA6="Any",$BA6=""),1,IF('All Data'!$G295=$BA6,1,0))</f>
        <v>0</v>
      </c>
      <c r="G295">
        <f>IF(AND(OR($BA$8="",ISNUMBER(SEARCH($BA$8,'All Data'!$K295&amp;" "&amp;'All Data'!$M295))),OR($BA$9="",ISNUMBER(SEARCH($BA$9,'All Data'!$K295&amp;" "&amp;'All Data'!$M295))),OR($BA$10="",ISNUMBER(SEARCH($BA$10,'All Data'!$K295&amp;" "&amp;'All Data'!$M295))),OR($BA$11="",ISNUMBER(SEARCH($BA$11,'All Data'!$K295&amp;" "&amp;'All Data'!$M295))),OR($BA$12="",ISNUMBER(SEARCH($BA$12,'All Data'!$K295&amp;" "&amp;'All Data'!$M295))),OR($BA$13="",ISNUMBER(SEARCH($BA$13,'All Data'!$K295&amp;" "&amp;'All Data'!$M295))),OR($BA$14="",ISNUMBER(SEARCH($BA$14,'All Data'!$K295&amp;" "&amp;'All Data'!$M295))),OR($BA$15="",ISNUMBER(SEARCH($BA$15,'All Data'!$K295&amp;" "&amp;'All Data'!$M295)))),1,0)</f>
        <v>1</v>
      </c>
      <c r="H295">
        <f t="shared" si="24"/>
        <v>0</v>
      </c>
      <c r="I295">
        <f>IF(AND($H295=1,'All Data'!$C295&lt;&gt;"",COUNTIFS($H$2:H294,1,'All Data'!$C$2:$C294,'All Data'!$C295)=0),1,0)</f>
        <v>0</v>
      </c>
      <c r="J295" t="str">
        <f>IF($I295=1,SUM($I$2:I295),"")</f>
        <v/>
      </c>
      <c r="K295">
        <f t="shared" si="25"/>
        <v>0</v>
      </c>
      <c r="L295">
        <f>IF(AND($K295=1,'All Data'!$D295&lt;&gt;"",COUNTIFS($K$2:K294,1,'All Data'!$D$2:$D294,'All Data'!$D295)=0),1,0)</f>
        <v>0</v>
      </c>
      <c r="M295" t="str">
        <f>IF($L295=1,SUM($L$2:L295),"")</f>
        <v/>
      </c>
      <c r="N295">
        <f t="shared" si="26"/>
        <v>0</v>
      </c>
      <c r="O295">
        <f>IF(AND($N295=1,'All Data'!$E295&lt;&gt;"",COUNTIFS($N$2:N294,1,'All Data'!$E$2:$E294,'All Data'!$E295)=0),1,0)</f>
        <v>0</v>
      </c>
      <c r="P295" t="str">
        <f>IF($O295=1,SUM($O$2:O295),"")</f>
        <v/>
      </c>
      <c r="Q295">
        <f t="shared" si="27"/>
        <v>0</v>
      </c>
      <c r="R295">
        <f>IF(AND($Q295=1,'All Data'!$F295&lt;&gt;"",COUNTIFS($Q$2:Q294,1,'All Data'!$F$2:$F294,'All Data'!$F295)=0),1,0)</f>
        <v>0</v>
      </c>
      <c r="S295" t="str">
        <f>IF($R295=1,SUM($R$2:R295),"")</f>
        <v/>
      </c>
      <c r="T295">
        <f t="shared" si="28"/>
        <v>0</v>
      </c>
      <c r="U295">
        <f>IF(AND($T295=1,'All Data'!$G295&lt;&gt;"",COUNTIFS($T$2:T294,1,'All Data'!$G$2:$G294,'All Data'!$G295)=0),1,0)</f>
        <v>0</v>
      </c>
      <c r="V295" t="str">
        <f>IF($U295=1,SUM($U$2:U295),"")</f>
        <v/>
      </c>
      <c r="W295">
        <f t="shared" si="29"/>
        <v>0</v>
      </c>
      <c r="X295" t="str">
        <f>IF($W295=1,SUM($W$2:W295),"")</f>
        <v/>
      </c>
    </row>
    <row r="296" spans="1:24" x14ac:dyDescent="0.3">
      <c r="A296">
        <f>IF(OR($BA1="Any",$BA1=""),1,IF('All Data'!$B296=$BA1,1,0))</f>
        <v>0</v>
      </c>
      <c r="B296">
        <f>IF(OR($BA2="Any",$BA2=""),1,IF('All Data'!$C296=$BA2,1,0))</f>
        <v>1</v>
      </c>
      <c r="C296">
        <f>IF(OR($BA3="Any",$BA3=""),1,IF('All Data'!$D296=$BA3,1,0))</f>
        <v>1</v>
      </c>
      <c r="D296">
        <f>IF(OR($BA4="Any",$BA4=""),1,IF('All Data'!$E296=$BA4,1,0))</f>
        <v>1</v>
      </c>
      <c r="E296">
        <f>IF(OR($BA5="Any",$BA5=""),1,IF('All Data'!$F296=$BA5,1,0))</f>
        <v>1</v>
      </c>
      <c r="F296">
        <f>IF(OR($BA6="Any",$BA6=""),1,IF('All Data'!$G296=$BA6,1,0))</f>
        <v>0</v>
      </c>
      <c r="G296">
        <f>IF(AND(OR($BA$8="",ISNUMBER(SEARCH($BA$8,'All Data'!$K296&amp;" "&amp;'All Data'!$M296))),OR($BA$9="",ISNUMBER(SEARCH($BA$9,'All Data'!$K296&amp;" "&amp;'All Data'!$M296))),OR($BA$10="",ISNUMBER(SEARCH($BA$10,'All Data'!$K296&amp;" "&amp;'All Data'!$M296))),OR($BA$11="",ISNUMBER(SEARCH($BA$11,'All Data'!$K296&amp;" "&amp;'All Data'!$M296))),OR($BA$12="",ISNUMBER(SEARCH($BA$12,'All Data'!$K296&amp;" "&amp;'All Data'!$M296))),OR($BA$13="",ISNUMBER(SEARCH($BA$13,'All Data'!$K296&amp;" "&amp;'All Data'!$M296))),OR($BA$14="",ISNUMBER(SEARCH($BA$14,'All Data'!$K296&amp;" "&amp;'All Data'!$M296))),OR($BA$15="",ISNUMBER(SEARCH($BA$15,'All Data'!$K296&amp;" "&amp;'All Data'!$M296)))),1,0)</f>
        <v>1</v>
      </c>
      <c r="H296">
        <f t="shared" si="24"/>
        <v>0</v>
      </c>
      <c r="I296">
        <f>IF(AND($H296=1,'All Data'!$C296&lt;&gt;"",COUNTIFS($H$2:H295,1,'All Data'!$C$2:$C295,'All Data'!$C296)=0),1,0)</f>
        <v>0</v>
      </c>
      <c r="J296" t="str">
        <f>IF($I296=1,SUM($I$2:I296),"")</f>
        <v/>
      </c>
      <c r="K296">
        <f t="shared" si="25"/>
        <v>0</v>
      </c>
      <c r="L296">
        <f>IF(AND($K296=1,'All Data'!$D296&lt;&gt;"",COUNTIFS($K$2:K295,1,'All Data'!$D$2:$D295,'All Data'!$D296)=0),1,0)</f>
        <v>0</v>
      </c>
      <c r="M296" t="str">
        <f>IF($L296=1,SUM($L$2:L296),"")</f>
        <v/>
      </c>
      <c r="N296">
        <f t="shared" si="26"/>
        <v>0</v>
      </c>
      <c r="O296">
        <f>IF(AND($N296=1,'All Data'!$E296&lt;&gt;"",COUNTIFS($N$2:N295,1,'All Data'!$E$2:$E295,'All Data'!$E296)=0),1,0)</f>
        <v>0</v>
      </c>
      <c r="P296" t="str">
        <f>IF($O296=1,SUM($O$2:O296),"")</f>
        <v/>
      </c>
      <c r="Q296">
        <f t="shared" si="27"/>
        <v>0</v>
      </c>
      <c r="R296">
        <f>IF(AND($Q296=1,'All Data'!$F296&lt;&gt;"",COUNTIFS($Q$2:Q295,1,'All Data'!$F$2:$F295,'All Data'!$F296)=0),1,0)</f>
        <v>0</v>
      </c>
      <c r="S296" t="str">
        <f>IF($R296=1,SUM($R$2:R296),"")</f>
        <v/>
      </c>
      <c r="T296">
        <f t="shared" si="28"/>
        <v>0</v>
      </c>
      <c r="U296">
        <f>IF(AND($T296=1,'All Data'!$G296&lt;&gt;"",COUNTIFS($T$2:T295,1,'All Data'!$G$2:$G295,'All Data'!$G296)=0),1,0)</f>
        <v>0</v>
      </c>
      <c r="V296" t="str">
        <f>IF($U296=1,SUM($U$2:U296),"")</f>
        <v/>
      </c>
      <c r="W296">
        <f t="shared" si="29"/>
        <v>0</v>
      </c>
      <c r="X296" t="str">
        <f>IF($W296=1,SUM($W$2:W296),"")</f>
        <v/>
      </c>
    </row>
    <row r="297" spans="1:24" x14ac:dyDescent="0.3">
      <c r="A297">
        <f>IF(OR($BA1="Any",$BA1=""),1,IF('All Data'!$B297=$BA1,1,0))</f>
        <v>0</v>
      </c>
      <c r="B297">
        <f>IF(OR($BA2="Any",$BA2=""),1,IF('All Data'!$C297=$BA2,1,0))</f>
        <v>1</v>
      </c>
      <c r="C297">
        <f>IF(OR($BA3="Any",$BA3=""),1,IF('All Data'!$D297=$BA3,1,0))</f>
        <v>1</v>
      </c>
      <c r="D297">
        <f>IF(OR($BA4="Any",$BA4=""),1,IF('All Data'!$E297=$BA4,1,0))</f>
        <v>1</v>
      </c>
      <c r="E297">
        <f>IF(OR($BA5="Any",$BA5=""),1,IF('All Data'!$F297=$BA5,1,0))</f>
        <v>1</v>
      </c>
      <c r="F297">
        <f>IF(OR($BA6="Any",$BA6=""),1,IF('All Data'!$G297=$BA6,1,0))</f>
        <v>0</v>
      </c>
      <c r="G297">
        <f>IF(AND(OR($BA$8="",ISNUMBER(SEARCH($BA$8,'All Data'!$K297&amp;" "&amp;'All Data'!$M297))),OR($BA$9="",ISNUMBER(SEARCH($BA$9,'All Data'!$K297&amp;" "&amp;'All Data'!$M297))),OR($BA$10="",ISNUMBER(SEARCH($BA$10,'All Data'!$K297&amp;" "&amp;'All Data'!$M297))),OR($BA$11="",ISNUMBER(SEARCH($BA$11,'All Data'!$K297&amp;" "&amp;'All Data'!$M297))),OR($BA$12="",ISNUMBER(SEARCH($BA$12,'All Data'!$K297&amp;" "&amp;'All Data'!$M297))),OR($BA$13="",ISNUMBER(SEARCH($BA$13,'All Data'!$K297&amp;" "&amp;'All Data'!$M297))),OR($BA$14="",ISNUMBER(SEARCH($BA$14,'All Data'!$K297&amp;" "&amp;'All Data'!$M297))),OR($BA$15="",ISNUMBER(SEARCH($BA$15,'All Data'!$K297&amp;" "&amp;'All Data'!$M297)))),1,0)</f>
        <v>1</v>
      </c>
      <c r="H297">
        <f t="shared" si="24"/>
        <v>0</v>
      </c>
      <c r="I297">
        <f>IF(AND($H297=1,'All Data'!$C297&lt;&gt;"",COUNTIFS($H$2:H296,1,'All Data'!$C$2:$C296,'All Data'!$C297)=0),1,0)</f>
        <v>0</v>
      </c>
      <c r="J297" t="str">
        <f>IF($I297=1,SUM($I$2:I297),"")</f>
        <v/>
      </c>
      <c r="K297">
        <f t="shared" si="25"/>
        <v>0</v>
      </c>
      <c r="L297">
        <f>IF(AND($K297=1,'All Data'!$D297&lt;&gt;"",COUNTIFS($K$2:K296,1,'All Data'!$D$2:$D296,'All Data'!$D297)=0),1,0)</f>
        <v>0</v>
      </c>
      <c r="M297" t="str">
        <f>IF($L297=1,SUM($L$2:L297),"")</f>
        <v/>
      </c>
      <c r="N297">
        <f t="shared" si="26"/>
        <v>0</v>
      </c>
      <c r="O297">
        <f>IF(AND($N297=1,'All Data'!$E297&lt;&gt;"",COUNTIFS($N$2:N296,1,'All Data'!$E$2:$E296,'All Data'!$E297)=0),1,0)</f>
        <v>0</v>
      </c>
      <c r="P297" t="str">
        <f>IF($O297=1,SUM($O$2:O297),"")</f>
        <v/>
      </c>
      <c r="Q297">
        <f t="shared" si="27"/>
        <v>0</v>
      </c>
      <c r="R297">
        <f>IF(AND($Q297=1,'All Data'!$F297&lt;&gt;"",COUNTIFS($Q$2:Q296,1,'All Data'!$F$2:$F296,'All Data'!$F297)=0),1,0)</f>
        <v>0</v>
      </c>
      <c r="S297" t="str">
        <f>IF($R297=1,SUM($R$2:R297),"")</f>
        <v/>
      </c>
      <c r="T297">
        <f t="shared" si="28"/>
        <v>0</v>
      </c>
      <c r="U297">
        <f>IF(AND($T297=1,'All Data'!$G297&lt;&gt;"",COUNTIFS($T$2:T296,1,'All Data'!$G$2:$G296,'All Data'!$G297)=0),1,0)</f>
        <v>0</v>
      </c>
      <c r="V297" t="str">
        <f>IF($U297=1,SUM($U$2:U297),"")</f>
        <v/>
      </c>
      <c r="W297">
        <f t="shared" si="29"/>
        <v>0</v>
      </c>
      <c r="X297" t="str">
        <f>IF($W297=1,SUM($W$2:W297),"")</f>
        <v/>
      </c>
    </row>
    <row r="298" spans="1:24" x14ac:dyDescent="0.3">
      <c r="A298">
        <f>IF(OR($BA1="Any",$BA1=""),1,IF('All Data'!$B298=$BA1,1,0))</f>
        <v>0</v>
      </c>
      <c r="B298">
        <f>IF(OR($BA2="Any",$BA2=""),1,IF('All Data'!$C298=$BA2,1,0))</f>
        <v>1</v>
      </c>
      <c r="C298">
        <f>IF(OR($BA3="Any",$BA3=""),1,IF('All Data'!$D298=$BA3,1,0))</f>
        <v>1</v>
      </c>
      <c r="D298">
        <f>IF(OR($BA4="Any",$BA4=""),1,IF('All Data'!$E298=$BA4,1,0))</f>
        <v>1</v>
      </c>
      <c r="E298">
        <f>IF(OR($BA5="Any",$BA5=""),1,IF('All Data'!$F298=$BA5,1,0))</f>
        <v>1</v>
      </c>
      <c r="F298">
        <f>IF(OR($BA6="Any",$BA6=""),1,IF('All Data'!$G298=$BA6,1,0))</f>
        <v>0</v>
      </c>
      <c r="G298">
        <f>IF(AND(OR($BA$8="",ISNUMBER(SEARCH($BA$8,'All Data'!$K298&amp;" "&amp;'All Data'!$M298))),OR($BA$9="",ISNUMBER(SEARCH($BA$9,'All Data'!$K298&amp;" "&amp;'All Data'!$M298))),OR($BA$10="",ISNUMBER(SEARCH($BA$10,'All Data'!$K298&amp;" "&amp;'All Data'!$M298))),OR($BA$11="",ISNUMBER(SEARCH($BA$11,'All Data'!$K298&amp;" "&amp;'All Data'!$M298))),OR($BA$12="",ISNUMBER(SEARCH($BA$12,'All Data'!$K298&amp;" "&amp;'All Data'!$M298))),OR($BA$13="",ISNUMBER(SEARCH($BA$13,'All Data'!$K298&amp;" "&amp;'All Data'!$M298))),OR($BA$14="",ISNUMBER(SEARCH($BA$14,'All Data'!$K298&amp;" "&amp;'All Data'!$M298))),OR($BA$15="",ISNUMBER(SEARCH($BA$15,'All Data'!$K298&amp;" "&amp;'All Data'!$M298)))),1,0)</f>
        <v>1</v>
      </c>
      <c r="H298">
        <f t="shared" si="24"/>
        <v>0</v>
      </c>
      <c r="I298">
        <f>IF(AND($H298=1,'All Data'!$C298&lt;&gt;"",COUNTIFS($H$2:H297,1,'All Data'!$C$2:$C297,'All Data'!$C298)=0),1,0)</f>
        <v>0</v>
      </c>
      <c r="J298" t="str">
        <f>IF($I298=1,SUM($I$2:I298),"")</f>
        <v/>
      </c>
      <c r="K298">
        <f t="shared" si="25"/>
        <v>0</v>
      </c>
      <c r="L298">
        <f>IF(AND($K298=1,'All Data'!$D298&lt;&gt;"",COUNTIFS($K$2:K297,1,'All Data'!$D$2:$D297,'All Data'!$D298)=0),1,0)</f>
        <v>0</v>
      </c>
      <c r="M298" t="str">
        <f>IF($L298=1,SUM($L$2:L298),"")</f>
        <v/>
      </c>
      <c r="N298">
        <f t="shared" si="26"/>
        <v>0</v>
      </c>
      <c r="O298">
        <f>IF(AND($N298=1,'All Data'!$E298&lt;&gt;"",COUNTIFS($N$2:N297,1,'All Data'!$E$2:$E297,'All Data'!$E298)=0),1,0)</f>
        <v>0</v>
      </c>
      <c r="P298" t="str">
        <f>IF($O298=1,SUM($O$2:O298),"")</f>
        <v/>
      </c>
      <c r="Q298">
        <f t="shared" si="27"/>
        <v>0</v>
      </c>
      <c r="R298">
        <f>IF(AND($Q298=1,'All Data'!$F298&lt;&gt;"",COUNTIFS($Q$2:Q297,1,'All Data'!$F$2:$F297,'All Data'!$F298)=0),1,0)</f>
        <v>0</v>
      </c>
      <c r="S298" t="str">
        <f>IF($R298=1,SUM($R$2:R298),"")</f>
        <v/>
      </c>
      <c r="T298">
        <f t="shared" si="28"/>
        <v>0</v>
      </c>
      <c r="U298">
        <f>IF(AND($T298=1,'All Data'!$G298&lt;&gt;"",COUNTIFS($T$2:T297,1,'All Data'!$G$2:$G297,'All Data'!$G298)=0),1,0)</f>
        <v>0</v>
      </c>
      <c r="V298" t="str">
        <f>IF($U298=1,SUM($U$2:U298),"")</f>
        <v/>
      </c>
      <c r="W298">
        <f t="shared" si="29"/>
        <v>0</v>
      </c>
      <c r="X298" t="str">
        <f>IF($W298=1,SUM($W$2:W298),"")</f>
        <v/>
      </c>
    </row>
    <row r="299" spans="1:24" x14ac:dyDescent="0.3">
      <c r="A299">
        <f>IF(OR($BA1="Any",$BA1=""),1,IF('All Data'!$B299=$BA1,1,0))</f>
        <v>0</v>
      </c>
      <c r="B299">
        <f>IF(OR($BA2="Any",$BA2=""),1,IF('All Data'!$C299=$BA2,1,0))</f>
        <v>1</v>
      </c>
      <c r="C299">
        <f>IF(OR($BA3="Any",$BA3=""),1,IF('All Data'!$D299=$BA3,1,0))</f>
        <v>1</v>
      </c>
      <c r="D299">
        <f>IF(OR($BA4="Any",$BA4=""),1,IF('All Data'!$E299=$BA4,1,0))</f>
        <v>1</v>
      </c>
      <c r="E299">
        <f>IF(OR($BA5="Any",$BA5=""),1,IF('All Data'!$F299=$BA5,1,0))</f>
        <v>1</v>
      </c>
      <c r="F299">
        <f>IF(OR($BA6="Any",$BA6=""),1,IF('All Data'!$G299=$BA6,1,0))</f>
        <v>0</v>
      </c>
      <c r="G299">
        <f>IF(AND(OR($BA$8="",ISNUMBER(SEARCH($BA$8,'All Data'!$K299&amp;" "&amp;'All Data'!$M299))),OR($BA$9="",ISNUMBER(SEARCH($BA$9,'All Data'!$K299&amp;" "&amp;'All Data'!$M299))),OR($BA$10="",ISNUMBER(SEARCH($BA$10,'All Data'!$K299&amp;" "&amp;'All Data'!$M299))),OR($BA$11="",ISNUMBER(SEARCH($BA$11,'All Data'!$K299&amp;" "&amp;'All Data'!$M299))),OR($BA$12="",ISNUMBER(SEARCH($BA$12,'All Data'!$K299&amp;" "&amp;'All Data'!$M299))),OR($BA$13="",ISNUMBER(SEARCH($BA$13,'All Data'!$K299&amp;" "&amp;'All Data'!$M299))),OR($BA$14="",ISNUMBER(SEARCH($BA$14,'All Data'!$K299&amp;" "&amp;'All Data'!$M299))),OR($BA$15="",ISNUMBER(SEARCH($BA$15,'All Data'!$K299&amp;" "&amp;'All Data'!$M299)))),1,0)</f>
        <v>1</v>
      </c>
      <c r="H299">
        <f t="shared" si="24"/>
        <v>0</v>
      </c>
      <c r="I299">
        <f>IF(AND($H299=1,'All Data'!$C299&lt;&gt;"",COUNTIFS($H$2:H298,1,'All Data'!$C$2:$C298,'All Data'!$C299)=0),1,0)</f>
        <v>0</v>
      </c>
      <c r="J299" t="str">
        <f>IF($I299=1,SUM($I$2:I299),"")</f>
        <v/>
      </c>
      <c r="K299">
        <f t="shared" si="25"/>
        <v>0</v>
      </c>
      <c r="L299">
        <f>IF(AND($K299=1,'All Data'!$D299&lt;&gt;"",COUNTIFS($K$2:K298,1,'All Data'!$D$2:$D298,'All Data'!$D299)=0),1,0)</f>
        <v>0</v>
      </c>
      <c r="M299" t="str">
        <f>IF($L299=1,SUM($L$2:L299),"")</f>
        <v/>
      </c>
      <c r="N299">
        <f t="shared" si="26"/>
        <v>0</v>
      </c>
      <c r="O299">
        <f>IF(AND($N299=1,'All Data'!$E299&lt;&gt;"",COUNTIFS($N$2:N298,1,'All Data'!$E$2:$E298,'All Data'!$E299)=0),1,0)</f>
        <v>0</v>
      </c>
      <c r="P299" t="str">
        <f>IF($O299=1,SUM($O$2:O299),"")</f>
        <v/>
      </c>
      <c r="Q299">
        <f t="shared" si="27"/>
        <v>0</v>
      </c>
      <c r="R299">
        <f>IF(AND($Q299=1,'All Data'!$F299&lt;&gt;"",COUNTIFS($Q$2:Q298,1,'All Data'!$F$2:$F298,'All Data'!$F299)=0),1,0)</f>
        <v>0</v>
      </c>
      <c r="S299" t="str">
        <f>IF($R299=1,SUM($R$2:R299),"")</f>
        <v/>
      </c>
      <c r="T299">
        <f t="shared" si="28"/>
        <v>0</v>
      </c>
      <c r="U299">
        <f>IF(AND($T299=1,'All Data'!$G299&lt;&gt;"",COUNTIFS($T$2:T298,1,'All Data'!$G$2:$G298,'All Data'!$G299)=0),1,0)</f>
        <v>0</v>
      </c>
      <c r="V299" t="str">
        <f>IF($U299=1,SUM($U$2:U299),"")</f>
        <v/>
      </c>
      <c r="W299">
        <f t="shared" si="29"/>
        <v>0</v>
      </c>
      <c r="X299" t="str">
        <f>IF($W299=1,SUM($W$2:W299),"")</f>
        <v/>
      </c>
    </row>
    <row r="300" spans="1:24" x14ac:dyDescent="0.3">
      <c r="A300">
        <f>IF(OR($BA1="Any",$BA1=""),1,IF('All Data'!$B300=$BA1,1,0))</f>
        <v>0</v>
      </c>
      <c r="B300">
        <f>IF(OR($BA2="Any",$BA2=""),1,IF('All Data'!$C300=$BA2,1,0))</f>
        <v>1</v>
      </c>
      <c r="C300">
        <f>IF(OR($BA3="Any",$BA3=""),1,IF('All Data'!$D300=$BA3,1,0))</f>
        <v>1</v>
      </c>
      <c r="D300">
        <f>IF(OR($BA4="Any",$BA4=""),1,IF('All Data'!$E300=$BA4,1,0))</f>
        <v>1</v>
      </c>
      <c r="E300">
        <f>IF(OR($BA5="Any",$BA5=""),1,IF('All Data'!$F300=$BA5,1,0))</f>
        <v>1</v>
      </c>
      <c r="F300">
        <f>IF(OR($BA6="Any",$BA6=""),1,IF('All Data'!$G300=$BA6,1,0))</f>
        <v>0</v>
      </c>
      <c r="G300">
        <f>IF(AND(OR($BA$8="",ISNUMBER(SEARCH($BA$8,'All Data'!$K300&amp;" "&amp;'All Data'!$M300))),OR($BA$9="",ISNUMBER(SEARCH($BA$9,'All Data'!$K300&amp;" "&amp;'All Data'!$M300))),OR($BA$10="",ISNUMBER(SEARCH($BA$10,'All Data'!$K300&amp;" "&amp;'All Data'!$M300))),OR($BA$11="",ISNUMBER(SEARCH($BA$11,'All Data'!$K300&amp;" "&amp;'All Data'!$M300))),OR($BA$12="",ISNUMBER(SEARCH($BA$12,'All Data'!$K300&amp;" "&amp;'All Data'!$M300))),OR($BA$13="",ISNUMBER(SEARCH($BA$13,'All Data'!$K300&amp;" "&amp;'All Data'!$M300))),OR($BA$14="",ISNUMBER(SEARCH($BA$14,'All Data'!$K300&amp;" "&amp;'All Data'!$M300))),OR($BA$15="",ISNUMBER(SEARCH($BA$15,'All Data'!$K300&amp;" "&amp;'All Data'!$M300)))),1,0)</f>
        <v>1</v>
      </c>
      <c r="H300">
        <f t="shared" si="24"/>
        <v>0</v>
      </c>
      <c r="I300">
        <f>IF(AND($H300=1,'All Data'!$C300&lt;&gt;"",COUNTIFS($H$2:H299,1,'All Data'!$C$2:$C299,'All Data'!$C300)=0),1,0)</f>
        <v>0</v>
      </c>
      <c r="J300" t="str">
        <f>IF($I300=1,SUM($I$2:I300),"")</f>
        <v/>
      </c>
      <c r="K300">
        <f t="shared" si="25"/>
        <v>0</v>
      </c>
      <c r="L300">
        <f>IF(AND($K300=1,'All Data'!$D300&lt;&gt;"",COUNTIFS($K$2:K299,1,'All Data'!$D$2:$D299,'All Data'!$D300)=0),1,0)</f>
        <v>0</v>
      </c>
      <c r="M300" t="str">
        <f>IF($L300=1,SUM($L$2:L300),"")</f>
        <v/>
      </c>
      <c r="N300">
        <f t="shared" si="26"/>
        <v>0</v>
      </c>
      <c r="O300">
        <f>IF(AND($N300=1,'All Data'!$E300&lt;&gt;"",COUNTIFS($N$2:N299,1,'All Data'!$E$2:$E299,'All Data'!$E300)=0),1,0)</f>
        <v>0</v>
      </c>
      <c r="P300" t="str">
        <f>IF($O300=1,SUM($O$2:O300),"")</f>
        <v/>
      </c>
      <c r="Q300">
        <f t="shared" si="27"/>
        <v>0</v>
      </c>
      <c r="R300">
        <f>IF(AND($Q300=1,'All Data'!$F300&lt;&gt;"",COUNTIFS($Q$2:Q299,1,'All Data'!$F$2:$F299,'All Data'!$F300)=0),1,0)</f>
        <v>0</v>
      </c>
      <c r="S300" t="str">
        <f>IF($R300=1,SUM($R$2:R300),"")</f>
        <v/>
      </c>
      <c r="T300">
        <f t="shared" si="28"/>
        <v>0</v>
      </c>
      <c r="U300">
        <f>IF(AND($T300=1,'All Data'!$G300&lt;&gt;"",COUNTIFS($T$2:T299,1,'All Data'!$G$2:$G299,'All Data'!$G300)=0),1,0)</f>
        <v>0</v>
      </c>
      <c r="V300" t="str">
        <f>IF($U300=1,SUM($U$2:U300),"")</f>
        <v/>
      </c>
      <c r="W300">
        <f t="shared" si="29"/>
        <v>0</v>
      </c>
      <c r="X300" t="str">
        <f>IF($W300=1,SUM($W$2:W300),"")</f>
        <v/>
      </c>
    </row>
    <row r="301" spans="1:24" x14ac:dyDescent="0.3">
      <c r="A301">
        <f>IF(OR($BA1="Any",$BA1=""),1,IF('All Data'!$B301=$BA1,1,0))</f>
        <v>0</v>
      </c>
      <c r="B301">
        <f>IF(OR($BA2="Any",$BA2=""),1,IF('All Data'!$C301=$BA2,1,0))</f>
        <v>1</v>
      </c>
      <c r="C301">
        <f>IF(OR($BA3="Any",$BA3=""),1,IF('All Data'!$D301=$BA3,1,0))</f>
        <v>1</v>
      </c>
      <c r="D301">
        <f>IF(OR($BA4="Any",$BA4=""),1,IF('All Data'!$E301=$BA4,1,0))</f>
        <v>1</v>
      </c>
      <c r="E301">
        <f>IF(OR($BA5="Any",$BA5=""),1,IF('All Data'!$F301=$BA5,1,0))</f>
        <v>1</v>
      </c>
      <c r="F301">
        <f>IF(OR($BA6="Any",$BA6=""),1,IF('All Data'!$G301=$BA6,1,0))</f>
        <v>0</v>
      </c>
      <c r="G301">
        <f>IF(AND(OR($BA$8="",ISNUMBER(SEARCH($BA$8,'All Data'!$K301&amp;" "&amp;'All Data'!$M301))),OR($BA$9="",ISNUMBER(SEARCH($BA$9,'All Data'!$K301&amp;" "&amp;'All Data'!$M301))),OR($BA$10="",ISNUMBER(SEARCH($BA$10,'All Data'!$K301&amp;" "&amp;'All Data'!$M301))),OR($BA$11="",ISNUMBER(SEARCH($BA$11,'All Data'!$K301&amp;" "&amp;'All Data'!$M301))),OR($BA$12="",ISNUMBER(SEARCH($BA$12,'All Data'!$K301&amp;" "&amp;'All Data'!$M301))),OR($BA$13="",ISNUMBER(SEARCH($BA$13,'All Data'!$K301&amp;" "&amp;'All Data'!$M301))),OR($BA$14="",ISNUMBER(SEARCH($BA$14,'All Data'!$K301&amp;" "&amp;'All Data'!$M301))),OR($BA$15="",ISNUMBER(SEARCH($BA$15,'All Data'!$K301&amp;" "&amp;'All Data'!$M301)))),1,0)</f>
        <v>1</v>
      </c>
      <c r="H301">
        <f t="shared" si="24"/>
        <v>0</v>
      </c>
      <c r="I301">
        <f>IF(AND($H301=1,'All Data'!$C301&lt;&gt;"",COUNTIFS($H$2:H300,1,'All Data'!$C$2:$C300,'All Data'!$C301)=0),1,0)</f>
        <v>0</v>
      </c>
      <c r="J301" t="str">
        <f>IF($I301=1,SUM($I$2:I301),"")</f>
        <v/>
      </c>
      <c r="K301">
        <f t="shared" si="25"/>
        <v>0</v>
      </c>
      <c r="L301">
        <f>IF(AND($K301=1,'All Data'!$D301&lt;&gt;"",COUNTIFS($K$2:K300,1,'All Data'!$D$2:$D300,'All Data'!$D301)=0),1,0)</f>
        <v>0</v>
      </c>
      <c r="M301" t="str">
        <f>IF($L301=1,SUM($L$2:L301),"")</f>
        <v/>
      </c>
      <c r="N301">
        <f t="shared" si="26"/>
        <v>0</v>
      </c>
      <c r="O301">
        <f>IF(AND($N301=1,'All Data'!$E301&lt;&gt;"",COUNTIFS($N$2:N300,1,'All Data'!$E$2:$E300,'All Data'!$E301)=0),1,0)</f>
        <v>0</v>
      </c>
      <c r="P301" t="str">
        <f>IF($O301=1,SUM($O$2:O301),"")</f>
        <v/>
      </c>
      <c r="Q301">
        <f t="shared" si="27"/>
        <v>0</v>
      </c>
      <c r="R301">
        <f>IF(AND($Q301=1,'All Data'!$F301&lt;&gt;"",COUNTIFS($Q$2:Q300,1,'All Data'!$F$2:$F300,'All Data'!$F301)=0),1,0)</f>
        <v>0</v>
      </c>
      <c r="S301" t="str">
        <f>IF($R301=1,SUM($R$2:R301),"")</f>
        <v/>
      </c>
      <c r="T301">
        <f t="shared" si="28"/>
        <v>0</v>
      </c>
      <c r="U301">
        <f>IF(AND($T301=1,'All Data'!$G301&lt;&gt;"",COUNTIFS($T$2:T300,1,'All Data'!$G$2:$G300,'All Data'!$G301)=0),1,0)</f>
        <v>0</v>
      </c>
      <c r="V301" t="str">
        <f>IF($U301=1,SUM($U$2:U301),"")</f>
        <v/>
      </c>
      <c r="W301">
        <f t="shared" si="29"/>
        <v>0</v>
      </c>
      <c r="X301" t="str">
        <f>IF($W301=1,SUM($W$2:W301),"")</f>
        <v/>
      </c>
    </row>
    <row r="302" spans="1:24" x14ac:dyDescent="0.3">
      <c r="A302">
        <f>IF(OR($BA1="Any",$BA1=""),1,IF('All Data'!$B302=$BA1,1,0))</f>
        <v>0</v>
      </c>
      <c r="B302">
        <f>IF(OR($BA2="Any",$BA2=""),1,IF('All Data'!$C302=$BA2,1,0))</f>
        <v>1</v>
      </c>
      <c r="C302">
        <f>IF(OR($BA3="Any",$BA3=""),1,IF('All Data'!$D302=$BA3,1,0))</f>
        <v>1</v>
      </c>
      <c r="D302">
        <f>IF(OR($BA4="Any",$BA4=""),1,IF('All Data'!$E302=$BA4,1,0))</f>
        <v>1</v>
      </c>
      <c r="E302">
        <f>IF(OR($BA5="Any",$BA5=""),1,IF('All Data'!$F302=$BA5,1,0))</f>
        <v>1</v>
      </c>
      <c r="F302">
        <f>IF(OR($BA6="Any",$BA6=""),1,IF('All Data'!$G302=$BA6,1,0))</f>
        <v>0</v>
      </c>
      <c r="G302">
        <f>IF(AND(OR($BA$8="",ISNUMBER(SEARCH($BA$8,'All Data'!$K302&amp;" "&amp;'All Data'!$M302))),OR($BA$9="",ISNUMBER(SEARCH($BA$9,'All Data'!$K302&amp;" "&amp;'All Data'!$M302))),OR($BA$10="",ISNUMBER(SEARCH($BA$10,'All Data'!$K302&amp;" "&amp;'All Data'!$M302))),OR($BA$11="",ISNUMBER(SEARCH($BA$11,'All Data'!$K302&amp;" "&amp;'All Data'!$M302))),OR($BA$12="",ISNUMBER(SEARCH($BA$12,'All Data'!$K302&amp;" "&amp;'All Data'!$M302))),OR($BA$13="",ISNUMBER(SEARCH($BA$13,'All Data'!$K302&amp;" "&amp;'All Data'!$M302))),OR($BA$14="",ISNUMBER(SEARCH($BA$14,'All Data'!$K302&amp;" "&amp;'All Data'!$M302))),OR($BA$15="",ISNUMBER(SEARCH($BA$15,'All Data'!$K302&amp;" "&amp;'All Data'!$M302)))),1,0)</f>
        <v>1</v>
      </c>
      <c r="H302">
        <f t="shared" si="24"/>
        <v>0</v>
      </c>
      <c r="I302">
        <f>IF(AND($H302=1,'All Data'!$C302&lt;&gt;"",COUNTIFS($H$2:H301,1,'All Data'!$C$2:$C301,'All Data'!$C302)=0),1,0)</f>
        <v>0</v>
      </c>
      <c r="J302" t="str">
        <f>IF($I302=1,SUM($I$2:I302),"")</f>
        <v/>
      </c>
      <c r="K302">
        <f t="shared" si="25"/>
        <v>0</v>
      </c>
      <c r="L302">
        <f>IF(AND($K302=1,'All Data'!$D302&lt;&gt;"",COUNTIFS($K$2:K301,1,'All Data'!$D$2:$D301,'All Data'!$D302)=0),1,0)</f>
        <v>0</v>
      </c>
      <c r="M302" t="str">
        <f>IF($L302=1,SUM($L$2:L302),"")</f>
        <v/>
      </c>
      <c r="N302">
        <f t="shared" si="26"/>
        <v>0</v>
      </c>
      <c r="O302">
        <f>IF(AND($N302=1,'All Data'!$E302&lt;&gt;"",COUNTIFS($N$2:N301,1,'All Data'!$E$2:$E301,'All Data'!$E302)=0),1,0)</f>
        <v>0</v>
      </c>
      <c r="P302" t="str">
        <f>IF($O302=1,SUM($O$2:O302),"")</f>
        <v/>
      </c>
      <c r="Q302">
        <f t="shared" si="27"/>
        <v>0</v>
      </c>
      <c r="R302">
        <f>IF(AND($Q302=1,'All Data'!$F302&lt;&gt;"",COUNTIFS($Q$2:Q301,1,'All Data'!$F$2:$F301,'All Data'!$F302)=0),1,0)</f>
        <v>0</v>
      </c>
      <c r="S302" t="str">
        <f>IF($R302=1,SUM($R$2:R302),"")</f>
        <v/>
      </c>
      <c r="T302">
        <f t="shared" si="28"/>
        <v>0</v>
      </c>
      <c r="U302">
        <f>IF(AND($T302=1,'All Data'!$G302&lt;&gt;"",COUNTIFS($T$2:T301,1,'All Data'!$G$2:$G301,'All Data'!$G302)=0),1,0)</f>
        <v>0</v>
      </c>
      <c r="V302" t="str">
        <f>IF($U302=1,SUM($U$2:U302),"")</f>
        <v/>
      </c>
      <c r="W302">
        <f t="shared" si="29"/>
        <v>0</v>
      </c>
      <c r="X302" t="str">
        <f>IF($W302=1,SUM($W$2:W302),"")</f>
        <v/>
      </c>
    </row>
    <row r="303" spans="1:24" x14ac:dyDescent="0.3">
      <c r="A303">
        <f>IF(OR($BA1="Any",$BA1=""),1,IF('All Data'!$B303=$BA1,1,0))</f>
        <v>0</v>
      </c>
      <c r="B303">
        <f>IF(OR($BA2="Any",$BA2=""),1,IF('All Data'!$C303=$BA2,1,0))</f>
        <v>1</v>
      </c>
      <c r="C303">
        <f>IF(OR($BA3="Any",$BA3=""),1,IF('All Data'!$D303=$BA3,1,0))</f>
        <v>1</v>
      </c>
      <c r="D303">
        <f>IF(OR($BA4="Any",$BA4=""),1,IF('All Data'!$E303=$BA4,1,0))</f>
        <v>1</v>
      </c>
      <c r="E303">
        <f>IF(OR($BA5="Any",$BA5=""),1,IF('All Data'!$F303=$BA5,1,0))</f>
        <v>1</v>
      </c>
      <c r="F303">
        <f>IF(OR($BA6="Any",$BA6=""),1,IF('All Data'!$G303=$BA6,1,0))</f>
        <v>0</v>
      </c>
      <c r="G303">
        <f>IF(AND(OR($BA$8="",ISNUMBER(SEARCH($BA$8,'All Data'!$K303&amp;" "&amp;'All Data'!$M303))),OR($BA$9="",ISNUMBER(SEARCH($BA$9,'All Data'!$K303&amp;" "&amp;'All Data'!$M303))),OR($BA$10="",ISNUMBER(SEARCH($BA$10,'All Data'!$K303&amp;" "&amp;'All Data'!$M303))),OR($BA$11="",ISNUMBER(SEARCH($BA$11,'All Data'!$K303&amp;" "&amp;'All Data'!$M303))),OR($BA$12="",ISNUMBER(SEARCH($BA$12,'All Data'!$K303&amp;" "&amp;'All Data'!$M303))),OR($BA$13="",ISNUMBER(SEARCH($BA$13,'All Data'!$K303&amp;" "&amp;'All Data'!$M303))),OR($BA$14="",ISNUMBER(SEARCH($BA$14,'All Data'!$K303&amp;" "&amp;'All Data'!$M303))),OR($BA$15="",ISNUMBER(SEARCH($BA$15,'All Data'!$K303&amp;" "&amp;'All Data'!$M303)))),1,0)</f>
        <v>1</v>
      </c>
      <c r="H303">
        <f t="shared" si="24"/>
        <v>0</v>
      </c>
      <c r="I303">
        <f>IF(AND($H303=1,'All Data'!$C303&lt;&gt;"",COUNTIFS($H$2:H302,1,'All Data'!$C$2:$C302,'All Data'!$C303)=0),1,0)</f>
        <v>0</v>
      </c>
      <c r="J303" t="str">
        <f>IF($I303=1,SUM($I$2:I303),"")</f>
        <v/>
      </c>
      <c r="K303">
        <f t="shared" si="25"/>
        <v>0</v>
      </c>
      <c r="L303">
        <f>IF(AND($K303=1,'All Data'!$D303&lt;&gt;"",COUNTIFS($K$2:K302,1,'All Data'!$D$2:$D302,'All Data'!$D303)=0),1,0)</f>
        <v>0</v>
      </c>
      <c r="M303" t="str">
        <f>IF($L303=1,SUM($L$2:L303),"")</f>
        <v/>
      </c>
      <c r="N303">
        <f t="shared" si="26"/>
        <v>0</v>
      </c>
      <c r="O303">
        <f>IF(AND($N303=1,'All Data'!$E303&lt;&gt;"",COUNTIFS($N$2:N302,1,'All Data'!$E$2:$E302,'All Data'!$E303)=0),1,0)</f>
        <v>0</v>
      </c>
      <c r="P303" t="str">
        <f>IF($O303=1,SUM($O$2:O303),"")</f>
        <v/>
      </c>
      <c r="Q303">
        <f t="shared" si="27"/>
        <v>0</v>
      </c>
      <c r="R303">
        <f>IF(AND($Q303=1,'All Data'!$F303&lt;&gt;"",COUNTIFS($Q$2:Q302,1,'All Data'!$F$2:$F302,'All Data'!$F303)=0),1,0)</f>
        <v>0</v>
      </c>
      <c r="S303" t="str">
        <f>IF($R303=1,SUM($R$2:R303),"")</f>
        <v/>
      </c>
      <c r="T303">
        <f t="shared" si="28"/>
        <v>0</v>
      </c>
      <c r="U303">
        <f>IF(AND($T303=1,'All Data'!$G303&lt;&gt;"",COUNTIFS($T$2:T302,1,'All Data'!$G$2:$G302,'All Data'!$G303)=0),1,0)</f>
        <v>0</v>
      </c>
      <c r="V303" t="str">
        <f>IF($U303=1,SUM($U$2:U303),"")</f>
        <v/>
      </c>
      <c r="W303">
        <f t="shared" si="29"/>
        <v>0</v>
      </c>
      <c r="X303" t="str">
        <f>IF($W303=1,SUM($W$2:W303),"")</f>
        <v/>
      </c>
    </row>
    <row r="304" spans="1:24" x14ac:dyDescent="0.3">
      <c r="A304">
        <f>IF(OR($BA1="Any",$BA1=""),1,IF('All Data'!$B304=$BA1,1,0))</f>
        <v>0</v>
      </c>
      <c r="B304">
        <f>IF(OR($BA2="Any",$BA2=""),1,IF('All Data'!$C304=$BA2,1,0))</f>
        <v>1</v>
      </c>
      <c r="C304">
        <f>IF(OR($BA3="Any",$BA3=""),1,IF('All Data'!$D304=$BA3,1,0))</f>
        <v>1</v>
      </c>
      <c r="D304">
        <f>IF(OR($BA4="Any",$BA4=""),1,IF('All Data'!$E304=$BA4,1,0))</f>
        <v>1</v>
      </c>
      <c r="E304">
        <f>IF(OR($BA5="Any",$BA5=""),1,IF('All Data'!$F304=$BA5,1,0))</f>
        <v>1</v>
      </c>
      <c r="F304">
        <f>IF(OR($BA6="Any",$BA6=""),1,IF('All Data'!$G304=$BA6,1,0))</f>
        <v>0</v>
      </c>
      <c r="G304">
        <f>IF(AND(OR($BA$8="",ISNUMBER(SEARCH($BA$8,'All Data'!$K304&amp;" "&amp;'All Data'!$M304))),OR($BA$9="",ISNUMBER(SEARCH($BA$9,'All Data'!$K304&amp;" "&amp;'All Data'!$M304))),OR($BA$10="",ISNUMBER(SEARCH($BA$10,'All Data'!$K304&amp;" "&amp;'All Data'!$M304))),OR($BA$11="",ISNUMBER(SEARCH($BA$11,'All Data'!$K304&amp;" "&amp;'All Data'!$M304))),OR($BA$12="",ISNUMBER(SEARCH($BA$12,'All Data'!$K304&amp;" "&amp;'All Data'!$M304))),OR($BA$13="",ISNUMBER(SEARCH($BA$13,'All Data'!$K304&amp;" "&amp;'All Data'!$M304))),OR($BA$14="",ISNUMBER(SEARCH($BA$14,'All Data'!$K304&amp;" "&amp;'All Data'!$M304))),OR($BA$15="",ISNUMBER(SEARCH($BA$15,'All Data'!$K304&amp;" "&amp;'All Data'!$M304)))),1,0)</f>
        <v>1</v>
      </c>
      <c r="H304">
        <f t="shared" si="24"/>
        <v>0</v>
      </c>
      <c r="I304">
        <f>IF(AND($H304=1,'All Data'!$C304&lt;&gt;"",COUNTIFS($H$2:H303,1,'All Data'!$C$2:$C303,'All Data'!$C304)=0),1,0)</f>
        <v>0</v>
      </c>
      <c r="J304" t="str">
        <f>IF($I304=1,SUM($I$2:I304),"")</f>
        <v/>
      </c>
      <c r="K304">
        <f t="shared" si="25"/>
        <v>0</v>
      </c>
      <c r="L304">
        <f>IF(AND($K304=1,'All Data'!$D304&lt;&gt;"",COUNTIFS($K$2:K303,1,'All Data'!$D$2:$D303,'All Data'!$D304)=0),1,0)</f>
        <v>0</v>
      </c>
      <c r="M304" t="str">
        <f>IF($L304=1,SUM($L$2:L304),"")</f>
        <v/>
      </c>
      <c r="N304">
        <f t="shared" si="26"/>
        <v>0</v>
      </c>
      <c r="O304">
        <f>IF(AND($N304=1,'All Data'!$E304&lt;&gt;"",COUNTIFS($N$2:N303,1,'All Data'!$E$2:$E303,'All Data'!$E304)=0),1,0)</f>
        <v>0</v>
      </c>
      <c r="P304" t="str">
        <f>IF($O304=1,SUM($O$2:O304),"")</f>
        <v/>
      </c>
      <c r="Q304">
        <f t="shared" si="27"/>
        <v>0</v>
      </c>
      <c r="R304">
        <f>IF(AND($Q304=1,'All Data'!$F304&lt;&gt;"",COUNTIFS($Q$2:Q303,1,'All Data'!$F$2:$F303,'All Data'!$F304)=0),1,0)</f>
        <v>0</v>
      </c>
      <c r="S304" t="str">
        <f>IF($R304=1,SUM($R$2:R304),"")</f>
        <v/>
      </c>
      <c r="T304">
        <f t="shared" si="28"/>
        <v>0</v>
      </c>
      <c r="U304">
        <f>IF(AND($T304=1,'All Data'!$G304&lt;&gt;"",COUNTIFS($T$2:T303,1,'All Data'!$G$2:$G303,'All Data'!$G304)=0),1,0)</f>
        <v>0</v>
      </c>
      <c r="V304" t="str">
        <f>IF($U304=1,SUM($U$2:U304),"")</f>
        <v/>
      </c>
      <c r="W304">
        <f t="shared" si="29"/>
        <v>0</v>
      </c>
      <c r="X304" t="str">
        <f>IF($W304=1,SUM($W$2:W304),"")</f>
        <v/>
      </c>
    </row>
    <row r="305" spans="1:24" x14ac:dyDescent="0.3">
      <c r="A305">
        <f>IF(OR($BA1="Any",$BA1=""),1,IF('All Data'!$B305=$BA1,1,0))</f>
        <v>0</v>
      </c>
      <c r="B305">
        <f>IF(OR($BA2="Any",$BA2=""),1,IF('All Data'!$C305=$BA2,1,0))</f>
        <v>1</v>
      </c>
      <c r="C305">
        <f>IF(OR($BA3="Any",$BA3=""),1,IF('All Data'!$D305=$BA3,1,0))</f>
        <v>1</v>
      </c>
      <c r="D305">
        <f>IF(OR($BA4="Any",$BA4=""),1,IF('All Data'!$E305=$BA4,1,0))</f>
        <v>1</v>
      </c>
      <c r="E305">
        <f>IF(OR($BA5="Any",$BA5=""),1,IF('All Data'!$F305=$BA5,1,0))</f>
        <v>1</v>
      </c>
      <c r="F305">
        <f>IF(OR($BA6="Any",$BA6=""),1,IF('All Data'!$G305=$BA6,1,0))</f>
        <v>0</v>
      </c>
      <c r="G305">
        <f>IF(AND(OR($BA$8="",ISNUMBER(SEARCH($BA$8,'All Data'!$K305&amp;" "&amp;'All Data'!$M305))),OR($BA$9="",ISNUMBER(SEARCH($BA$9,'All Data'!$K305&amp;" "&amp;'All Data'!$M305))),OR($BA$10="",ISNUMBER(SEARCH($BA$10,'All Data'!$K305&amp;" "&amp;'All Data'!$M305))),OR($BA$11="",ISNUMBER(SEARCH($BA$11,'All Data'!$K305&amp;" "&amp;'All Data'!$M305))),OR($BA$12="",ISNUMBER(SEARCH($BA$12,'All Data'!$K305&amp;" "&amp;'All Data'!$M305))),OR($BA$13="",ISNUMBER(SEARCH($BA$13,'All Data'!$K305&amp;" "&amp;'All Data'!$M305))),OR($BA$14="",ISNUMBER(SEARCH($BA$14,'All Data'!$K305&amp;" "&amp;'All Data'!$M305))),OR($BA$15="",ISNUMBER(SEARCH($BA$15,'All Data'!$K305&amp;" "&amp;'All Data'!$M305)))),1,0)</f>
        <v>1</v>
      </c>
      <c r="H305">
        <f t="shared" si="24"/>
        <v>0</v>
      </c>
      <c r="I305">
        <f>IF(AND($H305=1,'All Data'!$C305&lt;&gt;"",COUNTIFS($H$2:H304,1,'All Data'!$C$2:$C304,'All Data'!$C305)=0),1,0)</f>
        <v>0</v>
      </c>
      <c r="J305" t="str">
        <f>IF($I305=1,SUM($I$2:I305),"")</f>
        <v/>
      </c>
      <c r="K305">
        <f t="shared" si="25"/>
        <v>0</v>
      </c>
      <c r="L305">
        <f>IF(AND($K305=1,'All Data'!$D305&lt;&gt;"",COUNTIFS($K$2:K304,1,'All Data'!$D$2:$D304,'All Data'!$D305)=0),1,0)</f>
        <v>0</v>
      </c>
      <c r="M305" t="str">
        <f>IF($L305=1,SUM($L$2:L305),"")</f>
        <v/>
      </c>
      <c r="N305">
        <f t="shared" si="26"/>
        <v>0</v>
      </c>
      <c r="O305">
        <f>IF(AND($N305=1,'All Data'!$E305&lt;&gt;"",COUNTIFS($N$2:N304,1,'All Data'!$E$2:$E304,'All Data'!$E305)=0),1,0)</f>
        <v>0</v>
      </c>
      <c r="P305" t="str">
        <f>IF($O305=1,SUM($O$2:O305),"")</f>
        <v/>
      </c>
      <c r="Q305">
        <f t="shared" si="27"/>
        <v>0</v>
      </c>
      <c r="R305">
        <f>IF(AND($Q305=1,'All Data'!$F305&lt;&gt;"",COUNTIFS($Q$2:Q304,1,'All Data'!$F$2:$F304,'All Data'!$F305)=0),1,0)</f>
        <v>0</v>
      </c>
      <c r="S305" t="str">
        <f>IF($R305=1,SUM($R$2:R305),"")</f>
        <v/>
      </c>
      <c r="T305">
        <f t="shared" si="28"/>
        <v>0</v>
      </c>
      <c r="U305">
        <f>IF(AND($T305=1,'All Data'!$G305&lt;&gt;"",COUNTIFS($T$2:T304,1,'All Data'!$G$2:$G304,'All Data'!$G305)=0),1,0)</f>
        <v>0</v>
      </c>
      <c r="V305" t="str">
        <f>IF($U305=1,SUM($U$2:U305),"")</f>
        <v/>
      </c>
      <c r="W305">
        <f t="shared" si="29"/>
        <v>0</v>
      </c>
      <c r="X305" t="str">
        <f>IF($W305=1,SUM($W$2:W305),"")</f>
        <v/>
      </c>
    </row>
    <row r="306" spans="1:24" x14ac:dyDescent="0.3">
      <c r="A306">
        <f>IF(OR($BA1="Any",$BA1=""),1,IF('All Data'!$B306=$BA1,1,0))</f>
        <v>0</v>
      </c>
      <c r="B306">
        <f>IF(OR($BA2="Any",$BA2=""),1,IF('All Data'!$C306=$BA2,1,0))</f>
        <v>1</v>
      </c>
      <c r="C306">
        <f>IF(OR($BA3="Any",$BA3=""),1,IF('All Data'!$D306=$BA3,1,0))</f>
        <v>1</v>
      </c>
      <c r="D306">
        <f>IF(OR($BA4="Any",$BA4=""),1,IF('All Data'!$E306=$BA4,1,0))</f>
        <v>1</v>
      </c>
      <c r="E306">
        <f>IF(OR($BA5="Any",$BA5=""),1,IF('All Data'!$F306=$BA5,1,0))</f>
        <v>1</v>
      </c>
      <c r="F306">
        <f>IF(OR($BA6="Any",$BA6=""),1,IF('All Data'!$G306=$BA6,1,0))</f>
        <v>0</v>
      </c>
      <c r="G306">
        <f>IF(AND(OR($BA$8="",ISNUMBER(SEARCH($BA$8,'All Data'!$K306&amp;" "&amp;'All Data'!$M306))),OR($BA$9="",ISNUMBER(SEARCH($BA$9,'All Data'!$K306&amp;" "&amp;'All Data'!$M306))),OR($BA$10="",ISNUMBER(SEARCH($BA$10,'All Data'!$K306&amp;" "&amp;'All Data'!$M306))),OR($BA$11="",ISNUMBER(SEARCH($BA$11,'All Data'!$K306&amp;" "&amp;'All Data'!$M306))),OR($BA$12="",ISNUMBER(SEARCH($BA$12,'All Data'!$K306&amp;" "&amp;'All Data'!$M306))),OR($BA$13="",ISNUMBER(SEARCH($BA$13,'All Data'!$K306&amp;" "&amp;'All Data'!$M306))),OR($BA$14="",ISNUMBER(SEARCH($BA$14,'All Data'!$K306&amp;" "&amp;'All Data'!$M306))),OR($BA$15="",ISNUMBER(SEARCH($BA$15,'All Data'!$K306&amp;" "&amp;'All Data'!$M306)))),1,0)</f>
        <v>1</v>
      </c>
      <c r="H306">
        <f t="shared" si="24"/>
        <v>0</v>
      </c>
      <c r="I306">
        <f>IF(AND($H306=1,'All Data'!$C306&lt;&gt;"",COUNTIFS($H$2:H305,1,'All Data'!$C$2:$C305,'All Data'!$C306)=0),1,0)</f>
        <v>0</v>
      </c>
      <c r="J306" t="str">
        <f>IF($I306=1,SUM($I$2:I306),"")</f>
        <v/>
      </c>
      <c r="K306">
        <f t="shared" si="25"/>
        <v>0</v>
      </c>
      <c r="L306">
        <f>IF(AND($K306=1,'All Data'!$D306&lt;&gt;"",COUNTIFS($K$2:K305,1,'All Data'!$D$2:$D305,'All Data'!$D306)=0),1,0)</f>
        <v>0</v>
      </c>
      <c r="M306" t="str">
        <f>IF($L306=1,SUM($L$2:L306),"")</f>
        <v/>
      </c>
      <c r="N306">
        <f t="shared" si="26"/>
        <v>0</v>
      </c>
      <c r="O306">
        <f>IF(AND($N306=1,'All Data'!$E306&lt;&gt;"",COUNTIFS($N$2:N305,1,'All Data'!$E$2:$E305,'All Data'!$E306)=0),1,0)</f>
        <v>0</v>
      </c>
      <c r="P306" t="str">
        <f>IF($O306=1,SUM($O$2:O306),"")</f>
        <v/>
      </c>
      <c r="Q306">
        <f t="shared" si="27"/>
        <v>0</v>
      </c>
      <c r="R306">
        <f>IF(AND($Q306=1,'All Data'!$F306&lt;&gt;"",COUNTIFS($Q$2:Q305,1,'All Data'!$F$2:$F305,'All Data'!$F306)=0),1,0)</f>
        <v>0</v>
      </c>
      <c r="S306" t="str">
        <f>IF($R306=1,SUM($R$2:R306),"")</f>
        <v/>
      </c>
      <c r="T306">
        <f t="shared" si="28"/>
        <v>0</v>
      </c>
      <c r="U306">
        <f>IF(AND($T306=1,'All Data'!$G306&lt;&gt;"",COUNTIFS($T$2:T305,1,'All Data'!$G$2:$G305,'All Data'!$G306)=0),1,0)</f>
        <v>0</v>
      </c>
      <c r="V306" t="str">
        <f>IF($U306=1,SUM($U$2:U306),"")</f>
        <v/>
      </c>
      <c r="W306">
        <f t="shared" si="29"/>
        <v>0</v>
      </c>
      <c r="X306" t="str">
        <f>IF($W306=1,SUM($W$2:W306),"")</f>
        <v/>
      </c>
    </row>
    <row r="307" spans="1:24" x14ac:dyDescent="0.3">
      <c r="A307">
        <f>IF(OR($BA1="Any",$BA1=""),1,IF('All Data'!$B307=$BA1,1,0))</f>
        <v>0</v>
      </c>
      <c r="B307">
        <f>IF(OR($BA2="Any",$BA2=""),1,IF('All Data'!$C307=$BA2,1,0))</f>
        <v>1</v>
      </c>
      <c r="C307">
        <f>IF(OR($BA3="Any",$BA3=""),1,IF('All Data'!$D307=$BA3,1,0))</f>
        <v>1</v>
      </c>
      <c r="D307">
        <f>IF(OR($BA4="Any",$BA4=""),1,IF('All Data'!$E307=$BA4,1,0))</f>
        <v>1</v>
      </c>
      <c r="E307">
        <f>IF(OR($BA5="Any",$BA5=""),1,IF('All Data'!$F307=$BA5,1,0))</f>
        <v>1</v>
      </c>
      <c r="F307">
        <f>IF(OR($BA6="Any",$BA6=""),1,IF('All Data'!$G307=$BA6,1,0))</f>
        <v>0</v>
      </c>
      <c r="G307">
        <f>IF(AND(OR($BA$8="",ISNUMBER(SEARCH($BA$8,'All Data'!$K307&amp;" "&amp;'All Data'!$M307))),OR($BA$9="",ISNUMBER(SEARCH($BA$9,'All Data'!$K307&amp;" "&amp;'All Data'!$M307))),OR($BA$10="",ISNUMBER(SEARCH($BA$10,'All Data'!$K307&amp;" "&amp;'All Data'!$M307))),OR($BA$11="",ISNUMBER(SEARCH($BA$11,'All Data'!$K307&amp;" "&amp;'All Data'!$M307))),OR($BA$12="",ISNUMBER(SEARCH($BA$12,'All Data'!$K307&amp;" "&amp;'All Data'!$M307))),OR($BA$13="",ISNUMBER(SEARCH($BA$13,'All Data'!$K307&amp;" "&amp;'All Data'!$M307))),OR($BA$14="",ISNUMBER(SEARCH($BA$14,'All Data'!$K307&amp;" "&amp;'All Data'!$M307))),OR($BA$15="",ISNUMBER(SEARCH($BA$15,'All Data'!$K307&amp;" "&amp;'All Data'!$M307)))),1,0)</f>
        <v>1</v>
      </c>
      <c r="H307">
        <f t="shared" si="24"/>
        <v>0</v>
      </c>
      <c r="I307">
        <f>IF(AND($H307=1,'All Data'!$C307&lt;&gt;"",COUNTIFS($H$2:H306,1,'All Data'!$C$2:$C306,'All Data'!$C307)=0),1,0)</f>
        <v>0</v>
      </c>
      <c r="J307" t="str">
        <f>IF($I307=1,SUM($I$2:I307),"")</f>
        <v/>
      </c>
      <c r="K307">
        <f t="shared" si="25"/>
        <v>0</v>
      </c>
      <c r="L307">
        <f>IF(AND($K307=1,'All Data'!$D307&lt;&gt;"",COUNTIFS($K$2:K306,1,'All Data'!$D$2:$D306,'All Data'!$D307)=0),1,0)</f>
        <v>0</v>
      </c>
      <c r="M307" t="str">
        <f>IF($L307=1,SUM($L$2:L307),"")</f>
        <v/>
      </c>
      <c r="N307">
        <f t="shared" si="26"/>
        <v>0</v>
      </c>
      <c r="O307">
        <f>IF(AND($N307=1,'All Data'!$E307&lt;&gt;"",COUNTIFS($N$2:N306,1,'All Data'!$E$2:$E306,'All Data'!$E307)=0),1,0)</f>
        <v>0</v>
      </c>
      <c r="P307" t="str">
        <f>IF($O307=1,SUM($O$2:O307),"")</f>
        <v/>
      </c>
      <c r="Q307">
        <f t="shared" si="27"/>
        <v>0</v>
      </c>
      <c r="R307">
        <f>IF(AND($Q307=1,'All Data'!$F307&lt;&gt;"",COUNTIFS($Q$2:Q306,1,'All Data'!$F$2:$F306,'All Data'!$F307)=0),1,0)</f>
        <v>0</v>
      </c>
      <c r="S307" t="str">
        <f>IF($R307=1,SUM($R$2:R307),"")</f>
        <v/>
      </c>
      <c r="T307">
        <f t="shared" si="28"/>
        <v>0</v>
      </c>
      <c r="U307">
        <f>IF(AND($T307=1,'All Data'!$G307&lt;&gt;"",COUNTIFS($T$2:T306,1,'All Data'!$G$2:$G306,'All Data'!$G307)=0),1,0)</f>
        <v>0</v>
      </c>
      <c r="V307" t="str">
        <f>IF($U307=1,SUM($U$2:U307),"")</f>
        <v/>
      </c>
      <c r="W307">
        <f t="shared" si="29"/>
        <v>0</v>
      </c>
      <c r="X307" t="str">
        <f>IF($W307=1,SUM($W$2:W307),"")</f>
        <v/>
      </c>
    </row>
    <row r="308" spans="1:24" x14ac:dyDescent="0.3">
      <c r="A308">
        <f>IF(OR($BA1="Any",$BA1=""),1,IF('All Data'!$B308=$BA1,1,0))</f>
        <v>0</v>
      </c>
      <c r="B308">
        <f>IF(OR($BA2="Any",$BA2=""),1,IF('All Data'!$C308=$BA2,1,0))</f>
        <v>1</v>
      </c>
      <c r="C308">
        <f>IF(OR($BA3="Any",$BA3=""),1,IF('All Data'!$D308=$BA3,1,0))</f>
        <v>1</v>
      </c>
      <c r="D308">
        <f>IF(OR($BA4="Any",$BA4=""),1,IF('All Data'!$E308=$BA4,1,0))</f>
        <v>1</v>
      </c>
      <c r="E308">
        <f>IF(OR($BA5="Any",$BA5=""),1,IF('All Data'!$F308=$BA5,1,0))</f>
        <v>1</v>
      </c>
      <c r="F308">
        <f>IF(OR($BA6="Any",$BA6=""),1,IF('All Data'!$G308=$BA6,1,0))</f>
        <v>0</v>
      </c>
      <c r="G308">
        <f>IF(AND(OR($BA$8="",ISNUMBER(SEARCH($BA$8,'All Data'!$K308&amp;" "&amp;'All Data'!$M308))),OR($BA$9="",ISNUMBER(SEARCH($BA$9,'All Data'!$K308&amp;" "&amp;'All Data'!$M308))),OR($BA$10="",ISNUMBER(SEARCH($BA$10,'All Data'!$K308&amp;" "&amp;'All Data'!$M308))),OR($BA$11="",ISNUMBER(SEARCH($BA$11,'All Data'!$K308&amp;" "&amp;'All Data'!$M308))),OR($BA$12="",ISNUMBER(SEARCH($BA$12,'All Data'!$K308&amp;" "&amp;'All Data'!$M308))),OR($BA$13="",ISNUMBER(SEARCH($BA$13,'All Data'!$K308&amp;" "&amp;'All Data'!$M308))),OR($BA$14="",ISNUMBER(SEARCH($BA$14,'All Data'!$K308&amp;" "&amp;'All Data'!$M308))),OR($BA$15="",ISNUMBER(SEARCH($BA$15,'All Data'!$K308&amp;" "&amp;'All Data'!$M308)))),1,0)</f>
        <v>1</v>
      </c>
      <c r="H308">
        <f t="shared" si="24"/>
        <v>0</v>
      </c>
      <c r="I308">
        <f>IF(AND($H308=1,'All Data'!$C308&lt;&gt;"",COUNTIFS($H$2:H307,1,'All Data'!$C$2:$C307,'All Data'!$C308)=0),1,0)</f>
        <v>0</v>
      </c>
      <c r="J308" t="str">
        <f>IF($I308=1,SUM($I$2:I308),"")</f>
        <v/>
      </c>
      <c r="K308">
        <f t="shared" si="25"/>
        <v>0</v>
      </c>
      <c r="L308">
        <f>IF(AND($K308=1,'All Data'!$D308&lt;&gt;"",COUNTIFS($K$2:K307,1,'All Data'!$D$2:$D307,'All Data'!$D308)=0),1,0)</f>
        <v>0</v>
      </c>
      <c r="M308" t="str">
        <f>IF($L308=1,SUM($L$2:L308),"")</f>
        <v/>
      </c>
      <c r="N308">
        <f t="shared" si="26"/>
        <v>0</v>
      </c>
      <c r="O308">
        <f>IF(AND($N308=1,'All Data'!$E308&lt;&gt;"",COUNTIFS($N$2:N307,1,'All Data'!$E$2:$E307,'All Data'!$E308)=0),1,0)</f>
        <v>0</v>
      </c>
      <c r="P308" t="str">
        <f>IF($O308=1,SUM($O$2:O308),"")</f>
        <v/>
      </c>
      <c r="Q308">
        <f t="shared" si="27"/>
        <v>0</v>
      </c>
      <c r="R308">
        <f>IF(AND($Q308=1,'All Data'!$F308&lt;&gt;"",COUNTIFS($Q$2:Q307,1,'All Data'!$F$2:$F307,'All Data'!$F308)=0),1,0)</f>
        <v>0</v>
      </c>
      <c r="S308" t="str">
        <f>IF($R308=1,SUM($R$2:R308),"")</f>
        <v/>
      </c>
      <c r="T308">
        <f t="shared" si="28"/>
        <v>0</v>
      </c>
      <c r="U308">
        <f>IF(AND($T308=1,'All Data'!$G308&lt;&gt;"",COUNTIFS($T$2:T307,1,'All Data'!$G$2:$G307,'All Data'!$G308)=0),1,0)</f>
        <v>0</v>
      </c>
      <c r="V308" t="str">
        <f>IF($U308=1,SUM($U$2:U308),"")</f>
        <v/>
      </c>
      <c r="W308">
        <f t="shared" si="29"/>
        <v>0</v>
      </c>
      <c r="X308" t="str">
        <f>IF($W308=1,SUM($W$2:W308),"")</f>
        <v/>
      </c>
    </row>
    <row r="309" spans="1:24" x14ac:dyDescent="0.3">
      <c r="A309">
        <f>IF(OR($BA1="Any",$BA1=""),1,IF('All Data'!$B309=$BA1,1,0))</f>
        <v>0</v>
      </c>
      <c r="B309">
        <f>IF(OR($BA2="Any",$BA2=""),1,IF('All Data'!$C309=$BA2,1,0))</f>
        <v>1</v>
      </c>
      <c r="C309">
        <f>IF(OR($BA3="Any",$BA3=""),1,IF('All Data'!$D309=$BA3,1,0))</f>
        <v>1</v>
      </c>
      <c r="D309">
        <f>IF(OR($BA4="Any",$BA4=""),1,IF('All Data'!$E309=$BA4,1,0))</f>
        <v>1</v>
      </c>
      <c r="E309">
        <f>IF(OR($BA5="Any",$BA5=""),1,IF('All Data'!$F309=$BA5,1,0))</f>
        <v>1</v>
      </c>
      <c r="F309">
        <f>IF(OR($BA6="Any",$BA6=""),1,IF('All Data'!$G309=$BA6,1,0))</f>
        <v>0</v>
      </c>
      <c r="G309">
        <f>IF(AND(OR($BA$8="",ISNUMBER(SEARCH($BA$8,'All Data'!$K309&amp;" "&amp;'All Data'!$M309))),OR($BA$9="",ISNUMBER(SEARCH($BA$9,'All Data'!$K309&amp;" "&amp;'All Data'!$M309))),OR($BA$10="",ISNUMBER(SEARCH($BA$10,'All Data'!$K309&amp;" "&amp;'All Data'!$M309))),OR($BA$11="",ISNUMBER(SEARCH($BA$11,'All Data'!$K309&amp;" "&amp;'All Data'!$M309))),OR($BA$12="",ISNUMBER(SEARCH($BA$12,'All Data'!$K309&amp;" "&amp;'All Data'!$M309))),OR($BA$13="",ISNUMBER(SEARCH($BA$13,'All Data'!$K309&amp;" "&amp;'All Data'!$M309))),OR($BA$14="",ISNUMBER(SEARCH($BA$14,'All Data'!$K309&amp;" "&amp;'All Data'!$M309))),OR($BA$15="",ISNUMBER(SEARCH($BA$15,'All Data'!$K309&amp;" "&amp;'All Data'!$M309)))),1,0)</f>
        <v>1</v>
      </c>
      <c r="H309">
        <f t="shared" si="24"/>
        <v>0</v>
      </c>
      <c r="I309">
        <f>IF(AND($H309=1,'All Data'!$C309&lt;&gt;"",COUNTIFS($H$2:H308,1,'All Data'!$C$2:$C308,'All Data'!$C309)=0),1,0)</f>
        <v>0</v>
      </c>
      <c r="J309" t="str">
        <f>IF($I309=1,SUM($I$2:I309),"")</f>
        <v/>
      </c>
      <c r="K309">
        <f t="shared" si="25"/>
        <v>0</v>
      </c>
      <c r="L309">
        <f>IF(AND($K309=1,'All Data'!$D309&lt;&gt;"",COUNTIFS($K$2:K308,1,'All Data'!$D$2:$D308,'All Data'!$D309)=0),1,0)</f>
        <v>0</v>
      </c>
      <c r="M309" t="str">
        <f>IF($L309=1,SUM($L$2:L309),"")</f>
        <v/>
      </c>
      <c r="N309">
        <f t="shared" si="26"/>
        <v>0</v>
      </c>
      <c r="O309">
        <f>IF(AND($N309=1,'All Data'!$E309&lt;&gt;"",COUNTIFS($N$2:N308,1,'All Data'!$E$2:$E308,'All Data'!$E309)=0),1,0)</f>
        <v>0</v>
      </c>
      <c r="P309" t="str">
        <f>IF($O309=1,SUM($O$2:O309),"")</f>
        <v/>
      </c>
      <c r="Q309">
        <f t="shared" si="27"/>
        <v>0</v>
      </c>
      <c r="R309">
        <f>IF(AND($Q309=1,'All Data'!$F309&lt;&gt;"",COUNTIFS($Q$2:Q308,1,'All Data'!$F$2:$F308,'All Data'!$F309)=0),1,0)</f>
        <v>0</v>
      </c>
      <c r="S309" t="str">
        <f>IF($R309=1,SUM($R$2:R309),"")</f>
        <v/>
      </c>
      <c r="T309">
        <f t="shared" si="28"/>
        <v>0</v>
      </c>
      <c r="U309">
        <f>IF(AND($T309=1,'All Data'!$G309&lt;&gt;"",COUNTIFS($T$2:T308,1,'All Data'!$G$2:$G308,'All Data'!$G309)=0),1,0)</f>
        <v>0</v>
      </c>
      <c r="V309" t="str">
        <f>IF($U309=1,SUM($U$2:U309),"")</f>
        <v/>
      </c>
      <c r="W309">
        <f t="shared" si="29"/>
        <v>0</v>
      </c>
      <c r="X309" t="str">
        <f>IF($W309=1,SUM($W$2:W309),"")</f>
        <v/>
      </c>
    </row>
    <row r="310" spans="1:24" x14ac:dyDescent="0.3">
      <c r="A310">
        <f>IF(OR($BA1="Any",$BA1=""),1,IF('All Data'!$B310=$BA1,1,0))</f>
        <v>0</v>
      </c>
      <c r="B310">
        <f>IF(OR($BA2="Any",$BA2=""),1,IF('All Data'!$C310=$BA2,1,0))</f>
        <v>1</v>
      </c>
      <c r="C310">
        <f>IF(OR($BA3="Any",$BA3=""),1,IF('All Data'!$D310=$BA3,1,0))</f>
        <v>1</v>
      </c>
      <c r="D310">
        <f>IF(OR($BA4="Any",$BA4=""),1,IF('All Data'!$E310=$BA4,1,0))</f>
        <v>1</v>
      </c>
      <c r="E310">
        <f>IF(OR($BA5="Any",$BA5=""),1,IF('All Data'!$F310=$BA5,1,0))</f>
        <v>1</v>
      </c>
      <c r="F310">
        <f>IF(OR($BA6="Any",$BA6=""),1,IF('All Data'!$G310=$BA6,1,0))</f>
        <v>0</v>
      </c>
      <c r="G310">
        <f>IF(AND(OR($BA$8="",ISNUMBER(SEARCH($BA$8,'All Data'!$K310&amp;" "&amp;'All Data'!$M310))),OR($BA$9="",ISNUMBER(SEARCH($BA$9,'All Data'!$K310&amp;" "&amp;'All Data'!$M310))),OR($BA$10="",ISNUMBER(SEARCH($BA$10,'All Data'!$K310&amp;" "&amp;'All Data'!$M310))),OR($BA$11="",ISNUMBER(SEARCH($BA$11,'All Data'!$K310&amp;" "&amp;'All Data'!$M310))),OR($BA$12="",ISNUMBER(SEARCH($BA$12,'All Data'!$K310&amp;" "&amp;'All Data'!$M310))),OR($BA$13="",ISNUMBER(SEARCH($BA$13,'All Data'!$K310&amp;" "&amp;'All Data'!$M310))),OR($BA$14="",ISNUMBER(SEARCH($BA$14,'All Data'!$K310&amp;" "&amp;'All Data'!$M310))),OR($BA$15="",ISNUMBER(SEARCH($BA$15,'All Data'!$K310&amp;" "&amp;'All Data'!$M310)))),1,0)</f>
        <v>1</v>
      </c>
      <c r="H310">
        <f t="shared" si="24"/>
        <v>0</v>
      </c>
      <c r="I310">
        <f>IF(AND($H310=1,'All Data'!$C310&lt;&gt;"",COUNTIFS($H$2:H309,1,'All Data'!$C$2:$C309,'All Data'!$C310)=0),1,0)</f>
        <v>0</v>
      </c>
      <c r="J310" t="str">
        <f>IF($I310=1,SUM($I$2:I310),"")</f>
        <v/>
      </c>
      <c r="K310">
        <f t="shared" si="25"/>
        <v>0</v>
      </c>
      <c r="L310">
        <f>IF(AND($K310=1,'All Data'!$D310&lt;&gt;"",COUNTIFS($K$2:K309,1,'All Data'!$D$2:$D309,'All Data'!$D310)=0),1,0)</f>
        <v>0</v>
      </c>
      <c r="M310" t="str">
        <f>IF($L310=1,SUM($L$2:L310),"")</f>
        <v/>
      </c>
      <c r="N310">
        <f t="shared" si="26"/>
        <v>0</v>
      </c>
      <c r="O310">
        <f>IF(AND($N310=1,'All Data'!$E310&lt;&gt;"",COUNTIFS($N$2:N309,1,'All Data'!$E$2:$E309,'All Data'!$E310)=0),1,0)</f>
        <v>0</v>
      </c>
      <c r="P310" t="str">
        <f>IF($O310=1,SUM($O$2:O310),"")</f>
        <v/>
      </c>
      <c r="Q310">
        <f t="shared" si="27"/>
        <v>0</v>
      </c>
      <c r="R310">
        <f>IF(AND($Q310=1,'All Data'!$F310&lt;&gt;"",COUNTIFS($Q$2:Q309,1,'All Data'!$F$2:$F309,'All Data'!$F310)=0),1,0)</f>
        <v>0</v>
      </c>
      <c r="S310" t="str">
        <f>IF($R310=1,SUM($R$2:R310),"")</f>
        <v/>
      </c>
      <c r="T310">
        <f t="shared" si="28"/>
        <v>0</v>
      </c>
      <c r="U310">
        <f>IF(AND($T310=1,'All Data'!$G310&lt;&gt;"",COUNTIFS($T$2:T309,1,'All Data'!$G$2:$G309,'All Data'!$G310)=0),1,0)</f>
        <v>0</v>
      </c>
      <c r="V310" t="str">
        <f>IF($U310=1,SUM($U$2:U310),"")</f>
        <v/>
      </c>
      <c r="W310">
        <f t="shared" si="29"/>
        <v>0</v>
      </c>
      <c r="X310" t="str">
        <f>IF($W310=1,SUM($W$2:W310),"")</f>
        <v/>
      </c>
    </row>
    <row r="311" spans="1:24" x14ac:dyDescent="0.3">
      <c r="A311">
        <f>IF(OR($BA1="Any",$BA1=""),1,IF('All Data'!$B311=$BA1,1,0))</f>
        <v>0</v>
      </c>
      <c r="B311">
        <f>IF(OR($BA2="Any",$BA2=""),1,IF('All Data'!$C311=$BA2,1,0))</f>
        <v>1</v>
      </c>
      <c r="C311">
        <f>IF(OR($BA3="Any",$BA3=""),1,IF('All Data'!$D311=$BA3,1,0))</f>
        <v>1</v>
      </c>
      <c r="D311">
        <f>IF(OR($BA4="Any",$BA4=""),1,IF('All Data'!$E311=$BA4,1,0))</f>
        <v>1</v>
      </c>
      <c r="E311">
        <f>IF(OR($BA5="Any",$BA5=""),1,IF('All Data'!$F311=$BA5,1,0))</f>
        <v>1</v>
      </c>
      <c r="F311">
        <f>IF(OR($BA6="Any",$BA6=""),1,IF('All Data'!$G311=$BA6,1,0))</f>
        <v>0</v>
      </c>
      <c r="G311">
        <f>IF(AND(OR($BA$8="",ISNUMBER(SEARCH($BA$8,'All Data'!$K311&amp;" "&amp;'All Data'!$M311))),OR($BA$9="",ISNUMBER(SEARCH($BA$9,'All Data'!$K311&amp;" "&amp;'All Data'!$M311))),OR($BA$10="",ISNUMBER(SEARCH($BA$10,'All Data'!$K311&amp;" "&amp;'All Data'!$M311))),OR($BA$11="",ISNUMBER(SEARCH($BA$11,'All Data'!$K311&amp;" "&amp;'All Data'!$M311))),OR($BA$12="",ISNUMBER(SEARCH($BA$12,'All Data'!$K311&amp;" "&amp;'All Data'!$M311))),OR($BA$13="",ISNUMBER(SEARCH($BA$13,'All Data'!$K311&amp;" "&amp;'All Data'!$M311))),OR($BA$14="",ISNUMBER(SEARCH($BA$14,'All Data'!$K311&amp;" "&amp;'All Data'!$M311))),OR($BA$15="",ISNUMBER(SEARCH($BA$15,'All Data'!$K311&amp;" "&amp;'All Data'!$M311)))),1,0)</f>
        <v>1</v>
      </c>
      <c r="H311">
        <f t="shared" si="24"/>
        <v>0</v>
      </c>
      <c r="I311">
        <f>IF(AND($H311=1,'All Data'!$C311&lt;&gt;"",COUNTIFS($H$2:H310,1,'All Data'!$C$2:$C310,'All Data'!$C311)=0),1,0)</f>
        <v>0</v>
      </c>
      <c r="J311" t="str">
        <f>IF($I311=1,SUM($I$2:I311),"")</f>
        <v/>
      </c>
      <c r="K311">
        <f t="shared" si="25"/>
        <v>0</v>
      </c>
      <c r="L311">
        <f>IF(AND($K311=1,'All Data'!$D311&lt;&gt;"",COUNTIFS($K$2:K310,1,'All Data'!$D$2:$D310,'All Data'!$D311)=0),1,0)</f>
        <v>0</v>
      </c>
      <c r="M311" t="str">
        <f>IF($L311=1,SUM($L$2:L311),"")</f>
        <v/>
      </c>
      <c r="N311">
        <f t="shared" si="26"/>
        <v>0</v>
      </c>
      <c r="O311">
        <f>IF(AND($N311=1,'All Data'!$E311&lt;&gt;"",COUNTIFS($N$2:N310,1,'All Data'!$E$2:$E310,'All Data'!$E311)=0),1,0)</f>
        <v>0</v>
      </c>
      <c r="P311" t="str">
        <f>IF($O311=1,SUM($O$2:O311),"")</f>
        <v/>
      </c>
      <c r="Q311">
        <f t="shared" si="27"/>
        <v>0</v>
      </c>
      <c r="R311">
        <f>IF(AND($Q311=1,'All Data'!$F311&lt;&gt;"",COUNTIFS($Q$2:Q310,1,'All Data'!$F$2:$F310,'All Data'!$F311)=0),1,0)</f>
        <v>0</v>
      </c>
      <c r="S311" t="str">
        <f>IF($R311=1,SUM($R$2:R311),"")</f>
        <v/>
      </c>
      <c r="T311">
        <f t="shared" si="28"/>
        <v>0</v>
      </c>
      <c r="U311">
        <f>IF(AND($T311=1,'All Data'!$G311&lt;&gt;"",COUNTIFS($T$2:T310,1,'All Data'!$G$2:$G310,'All Data'!$G311)=0),1,0)</f>
        <v>0</v>
      </c>
      <c r="V311" t="str">
        <f>IF($U311=1,SUM($U$2:U311),"")</f>
        <v/>
      </c>
      <c r="W311">
        <f t="shared" si="29"/>
        <v>0</v>
      </c>
      <c r="X311" t="str">
        <f>IF($W311=1,SUM($W$2:W311),"")</f>
        <v/>
      </c>
    </row>
    <row r="312" spans="1:24" x14ac:dyDescent="0.3">
      <c r="A312">
        <f>IF(OR($BA1="Any",$BA1=""),1,IF('All Data'!$B312=$BA1,1,0))</f>
        <v>0</v>
      </c>
      <c r="B312">
        <f>IF(OR($BA2="Any",$BA2=""),1,IF('All Data'!$C312=$BA2,1,0))</f>
        <v>1</v>
      </c>
      <c r="C312">
        <f>IF(OR($BA3="Any",$BA3=""),1,IF('All Data'!$D312=$BA3,1,0))</f>
        <v>1</v>
      </c>
      <c r="D312">
        <f>IF(OR($BA4="Any",$BA4=""),1,IF('All Data'!$E312=$BA4,1,0))</f>
        <v>1</v>
      </c>
      <c r="E312">
        <f>IF(OR($BA5="Any",$BA5=""),1,IF('All Data'!$F312=$BA5,1,0))</f>
        <v>1</v>
      </c>
      <c r="F312">
        <f>IF(OR($BA6="Any",$BA6=""),1,IF('All Data'!$G312=$BA6,1,0))</f>
        <v>0</v>
      </c>
      <c r="G312">
        <f>IF(AND(OR($BA$8="",ISNUMBER(SEARCH($BA$8,'All Data'!$K312&amp;" "&amp;'All Data'!$M312))),OR($BA$9="",ISNUMBER(SEARCH($BA$9,'All Data'!$K312&amp;" "&amp;'All Data'!$M312))),OR($BA$10="",ISNUMBER(SEARCH($BA$10,'All Data'!$K312&amp;" "&amp;'All Data'!$M312))),OR($BA$11="",ISNUMBER(SEARCH($BA$11,'All Data'!$K312&amp;" "&amp;'All Data'!$M312))),OR($BA$12="",ISNUMBER(SEARCH($BA$12,'All Data'!$K312&amp;" "&amp;'All Data'!$M312))),OR($BA$13="",ISNUMBER(SEARCH($BA$13,'All Data'!$K312&amp;" "&amp;'All Data'!$M312))),OR($BA$14="",ISNUMBER(SEARCH($BA$14,'All Data'!$K312&amp;" "&amp;'All Data'!$M312))),OR($BA$15="",ISNUMBER(SEARCH($BA$15,'All Data'!$K312&amp;" "&amp;'All Data'!$M312)))),1,0)</f>
        <v>1</v>
      </c>
      <c r="H312">
        <f t="shared" si="24"/>
        <v>0</v>
      </c>
      <c r="I312">
        <f>IF(AND($H312=1,'All Data'!$C312&lt;&gt;"",COUNTIFS($H$2:H311,1,'All Data'!$C$2:$C311,'All Data'!$C312)=0),1,0)</f>
        <v>0</v>
      </c>
      <c r="J312" t="str">
        <f>IF($I312=1,SUM($I$2:I312),"")</f>
        <v/>
      </c>
      <c r="K312">
        <f t="shared" si="25"/>
        <v>0</v>
      </c>
      <c r="L312">
        <f>IF(AND($K312=1,'All Data'!$D312&lt;&gt;"",COUNTIFS($K$2:K311,1,'All Data'!$D$2:$D311,'All Data'!$D312)=0),1,0)</f>
        <v>0</v>
      </c>
      <c r="M312" t="str">
        <f>IF($L312=1,SUM($L$2:L312),"")</f>
        <v/>
      </c>
      <c r="N312">
        <f t="shared" si="26"/>
        <v>0</v>
      </c>
      <c r="O312">
        <f>IF(AND($N312=1,'All Data'!$E312&lt;&gt;"",COUNTIFS($N$2:N311,1,'All Data'!$E$2:$E311,'All Data'!$E312)=0),1,0)</f>
        <v>0</v>
      </c>
      <c r="P312" t="str">
        <f>IF($O312=1,SUM($O$2:O312),"")</f>
        <v/>
      </c>
      <c r="Q312">
        <f t="shared" si="27"/>
        <v>0</v>
      </c>
      <c r="R312">
        <f>IF(AND($Q312=1,'All Data'!$F312&lt;&gt;"",COUNTIFS($Q$2:Q311,1,'All Data'!$F$2:$F311,'All Data'!$F312)=0),1,0)</f>
        <v>0</v>
      </c>
      <c r="S312" t="str">
        <f>IF($R312=1,SUM($R$2:R312),"")</f>
        <v/>
      </c>
      <c r="T312">
        <f t="shared" si="28"/>
        <v>0</v>
      </c>
      <c r="U312">
        <f>IF(AND($T312=1,'All Data'!$G312&lt;&gt;"",COUNTIFS($T$2:T311,1,'All Data'!$G$2:$G311,'All Data'!$G312)=0),1,0)</f>
        <v>0</v>
      </c>
      <c r="V312" t="str">
        <f>IF($U312=1,SUM($U$2:U312),"")</f>
        <v/>
      </c>
      <c r="W312">
        <f t="shared" si="29"/>
        <v>0</v>
      </c>
      <c r="X312" t="str">
        <f>IF($W312=1,SUM($W$2:W312),"")</f>
        <v/>
      </c>
    </row>
    <row r="313" spans="1:24" x14ac:dyDescent="0.3">
      <c r="A313">
        <f>IF(OR($BA1="Any",$BA1=""),1,IF('All Data'!$B313=$BA1,1,0))</f>
        <v>0</v>
      </c>
      <c r="B313">
        <f>IF(OR($BA2="Any",$BA2=""),1,IF('All Data'!$C313=$BA2,1,0))</f>
        <v>1</v>
      </c>
      <c r="C313">
        <f>IF(OR($BA3="Any",$BA3=""),1,IF('All Data'!$D313=$BA3,1,0))</f>
        <v>1</v>
      </c>
      <c r="D313">
        <f>IF(OR($BA4="Any",$BA4=""),1,IF('All Data'!$E313=$BA4,1,0))</f>
        <v>1</v>
      </c>
      <c r="E313">
        <f>IF(OR($BA5="Any",$BA5=""),1,IF('All Data'!$F313=$BA5,1,0))</f>
        <v>1</v>
      </c>
      <c r="F313">
        <f>IF(OR($BA6="Any",$BA6=""),1,IF('All Data'!$G313=$BA6,1,0))</f>
        <v>0</v>
      </c>
      <c r="G313">
        <f>IF(AND(OR($BA$8="",ISNUMBER(SEARCH($BA$8,'All Data'!$K313&amp;" "&amp;'All Data'!$M313))),OR($BA$9="",ISNUMBER(SEARCH($BA$9,'All Data'!$K313&amp;" "&amp;'All Data'!$M313))),OR($BA$10="",ISNUMBER(SEARCH($BA$10,'All Data'!$K313&amp;" "&amp;'All Data'!$M313))),OR($BA$11="",ISNUMBER(SEARCH($BA$11,'All Data'!$K313&amp;" "&amp;'All Data'!$M313))),OR($BA$12="",ISNUMBER(SEARCH($BA$12,'All Data'!$K313&amp;" "&amp;'All Data'!$M313))),OR($BA$13="",ISNUMBER(SEARCH($BA$13,'All Data'!$K313&amp;" "&amp;'All Data'!$M313))),OR($BA$14="",ISNUMBER(SEARCH($BA$14,'All Data'!$K313&amp;" "&amp;'All Data'!$M313))),OR($BA$15="",ISNUMBER(SEARCH($BA$15,'All Data'!$K313&amp;" "&amp;'All Data'!$M313)))),1,0)</f>
        <v>1</v>
      </c>
      <c r="H313">
        <f t="shared" si="24"/>
        <v>0</v>
      </c>
      <c r="I313">
        <f>IF(AND($H313=1,'All Data'!$C313&lt;&gt;"",COUNTIFS($H$2:H312,1,'All Data'!$C$2:$C312,'All Data'!$C313)=0),1,0)</f>
        <v>0</v>
      </c>
      <c r="J313" t="str">
        <f>IF($I313=1,SUM($I$2:I313),"")</f>
        <v/>
      </c>
      <c r="K313">
        <f t="shared" si="25"/>
        <v>0</v>
      </c>
      <c r="L313">
        <f>IF(AND($K313=1,'All Data'!$D313&lt;&gt;"",COUNTIFS($K$2:K312,1,'All Data'!$D$2:$D312,'All Data'!$D313)=0),1,0)</f>
        <v>0</v>
      </c>
      <c r="M313" t="str">
        <f>IF($L313=1,SUM($L$2:L313),"")</f>
        <v/>
      </c>
      <c r="N313">
        <f t="shared" si="26"/>
        <v>0</v>
      </c>
      <c r="O313">
        <f>IF(AND($N313=1,'All Data'!$E313&lt;&gt;"",COUNTIFS($N$2:N312,1,'All Data'!$E$2:$E312,'All Data'!$E313)=0),1,0)</f>
        <v>0</v>
      </c>
      <c r="P313" t="str">
        <f>IF($O313=1,SUM($O$2:O313),"")</f>
        <v/>
      </c>
      <c r="Q313">
        <f t="shared" si="27"/>
        <v>0</v>
      </c>
      <c r="R313">
        <f>IF(AND($Q313=1,'All Data'!$F313&lt;&gt;"",COUNTIFS($Q$2:Q312,1,'All Data'!$F$2:$F312,'All Data'!$F313)=0),1,0)</f>
        <v>0</v>
      </c>
      <c r="S313" t="str">
        <f>IF($R313=1,SUM($R$2:R313),"")</f>
        <v/>
      </c>
      <c r="T313">
        <f t="shared" si="28"/>
        <v>0</v>
      </c>
      <c r="U313">
        <f>IF(AND($T313=1,'All Data'!$G313&lt;&gt;"",COUNTIFS($T$2:T312,1,'All Data'!$G$2:$G312,'All Data'!$G313)=0),1,0)</f>
        <v>0</v>
      </c>
      <c r="V313" t="str">
        <f>IF($U313=1,SUM($U$2:U313),"")</f>
        <v/>
      </c>
      <c r="W313">
        <f t="shared" si="29"/>
        <v>0</v>
      </c>
      <c r="X313" t="str">
        <f>IF($W313=1,SUM($W$2:W313),"")</f>
        <v/>
      </c>
    </row>
    <row r="314" spans="1:24" x14ac:dyDescent="0.3">
      <c r="A314">
        <f>IF(OR($BA1="Any",$BA1=""),1,IF('All Data'!$B314=$BA1,1,0))</f>
        <v>0</v>
      </c>
      <c r="B314">
        <f>IF(OR($BA2="Any",$BA2=""),1,IF('All Data'!$C314=$BA2,1,0))</f>
        <v>1</v>
      </c>
      <c r="C314">
        <f>IF(OR($BA3="Any",$BA3=""),1,IF('All Data'!$D314=$BA3,1,0))</f>
        <v>1</v>
      </c>
      <c r="D314">
        <f>IF(OR($BA4="Any",$BA4=""),1,IF('All Data'!$E314=$BA4,1,0))</f>
        <v>1</v>
      </c>
      <c r="E314">
        <f>IF(OR($BA5="Any",$BA5=""),1,IF('All Data'!$F314=$BA5,1,0))</f>
        <v>1</v>
      </c>
      <c r="F314">
        <f>IF(OR($BA6="Any",$BA6=""),1,IF('All Data'!$G314=$BA6,1,0))</f>
        <v>0</v>
      </c>
      <c r="G314">
        <f>IF(AND(OR($BA$8="",ISNUMBER(SEARCH($BA$8,'All Data'!$K314&amp;" "&amp;'All Data'!$M314))),OR($BA$9="",ISNUMBER(SEARCH($BA$9,'All Data'!$K314&amp;" "&amp;'All Data'!$M314))),OR($BA$10="",ISNUMBER(SEARCH($BA$10,'All Data'!$K314&amp;" "&amp;'All Data'!$M314))),OR($BA$11="",ISNUMBER(SEARCH($BA$11,'All Data'!$K314&amp;" "&amp;'All Data'!$M314))),OR($BA$12="",ISNUMBER(SEARCH($BA$12,'All Data'!$K314&amp;" "&amp;'All Data'!$M314))),OR($BA$13="",ISNUMBER(SEARCH($BA$13,'All Data'!$K314&amp;" "&amp;'All Data'!$M314))),OR($BA$14="",ISNUMBER(SEARCH($BA$14,'All Data'!$K314&amp;" "&amp;'All Data'!$M314))),OR($BA$15="",ISNUMBER(SEARCH($BA$15,'All Data'!$K314&amp;" "&amp;'All Data'!$M314)))),1,0)</f>
        <v>1</v>
      </c>
      <c r="H314">
        <f t="shared" si="24"/>
        <v>0</v>
      </c>
      <c r="I314">
        <f>IF(AND($H314=1,'All Data'!$C314&lt;&gt;"",COUNTIFS($H$2:H313,1,'All Data'!$C$2:$C313,'All Data'!$C314)=0),1,0)</f>
        <v>0</v>
      </c>
      <c r="J314" t="str">
        <f>IF($I314=1,SUM($I$2:I314),"")</f>
        <v/>
      </c>
      <c r="K314">
        <f t="shared" si="25"/>
        <v>0</v>
      </c>
      <c r="L314">
        <f>IF(AND($K314=1,'All Data'!$D314&lt;&gt;"",COUNTIFS($K$2:K313,1,'All Data'!$D$2:$D313,'All Data'!$D314)=0),1,0)</f>
        <v>0</v>
      </c>
      <c r="M314" t="str">
        <f>IF($L314=1,SUM($L$2:L314),"")</f>
        <v/>
      </c>
      <c r="N314">
        <f t="shared" si="26"/>
        <v>0</v>
      </c>
      <c r="O314">
        <f>IF(AND($N314=1,'All Data'!$E314&lt;&gt;"",COUNTIFS($N$2:N313,1,'All Data'!$E$2:$E313,'All Data'!$E314)=0),1,0)</f>
        <v>0</v>
      </c>
      <c r="P314" t="str">
        <f>IF($O314=1,SUM($O$2:O314),"")</f>
        <v/>
      </c>
      <c r="Q314">
        <f t="shared" si="27"/>
        <v>0</v>
      </c>
      <c r="R314">
        <f>IF(AND($Q314=1,'All Data'!$F314&lt;&gt;"",COUNTIFS($Q$2:Q313,1,'All Data'!$F$2:$F313,'All Data'!$F314)=0),1,0)</f>
        <v>0</v>
      </c>
      <c r="S314" t="str">
        <f>IF($R314=1,SUM($R$2:R314),"")</f>
        <v/>
      </c>
      <c r="T314">
        <f t="shared" si="28"/>
        <v>0</v>
      </c>
      <c r="U314">
        <f>IF(AND($T314=1,'All Data'!$G314&lt;&gt;"",COUNTIFS($T$2:T313,1,'All Data'!$G$2:$G313,'All Data'!$G314)=0),1,0)</f>
        <v>0</v>
      </c>
      <c r="V314" t="str">
        <f>IF($U314=1,SUM($U$2:U314),"")</f>
        <v/>
      </c>
      <c r="W314">
        <f t="shared" si="29"/>
        <v>0</v>
      </c>
      <c r="X314" t="str">
        <f>IF($W314=1,SUM($W$2:W314),"")</f>
        <v/>
      </c>
    </row>
    <row r="315" spans="1:24" x14ac:dyDescent="0.3">
      <c r="A315">
        <f>IF(OR($BA1="Any",$BA1=""),1,IF('All Data'!$B315=$BA1,1,0))</f>
        <v>0</v>
      </c>
      <c r="B315">
        <f>IF(OR($BA2="Any",$BA2=""),1,IF('All Data'!$C315=$BA2,1,0))</f>
        <v>1</v>
      </c>
      <c r="C315">
        <f>IF(OR($BA3="Any",$BA3=""),1,IF('All Data'!$D315=$BA3,1,0))</f>
        <v>1</v>
      </c>
      <c r="D315">
        <f>IF(OR($BA4="Any",$BA4=""),1,IF('All Data'!$E315=$BA4,1,0))</f>
        <v>1</v>
      </c>
      <c r="E315">
        <f>IF(OR($BA5="Any",$BA5=""),1,IF('All Data'!$F315=$BA5,1,0))</f>
        <v>1</v>
      </c>
      <c r="F315">
        <f>IF(OR($BA6="Any",$BA6=""),1,IF('All Data'!$G315=$BA6,1,0))</f>
        <v>0</v>
      </c>
      <c r="G315">
        <f>IF(AND(OR($BA$8="",ISNUMBER(SEARCH($BA$8,'All Data'!$K315&amp;" "&amp;'All Data'!$M315))),OR($BA$9="",ISNUMBER(SEARCH($BA$9,'All Data'!$K315&amp;" "&amp;'All Data'!$M315))),OR($BA$10="",ISNUMBER(SEARCH($BA$10,'All Data'!$K315&amp;" "&amp;'All Data'!$M315))),OR($BA$11="",ISNUMBER(SEARCH($BA$11,'All Data'!$K315&amp;" "&amp;'All Data'!$M315))),OR($BA$12="",ISNUMBER(SEARCH($BA$12,'All Data'!$K315&amp;" "&amp;'All Data'!$M315))),OR($BA$13="",ISNUMBER(SEARCH($BA$13,'All Data'!$K315&amp;" "&amp;'All Data'!$M315))),OR($BA$14="",ISNUMBER(SEARCH($BA$14,'All Data'!$K315&amp;" "&amp;'All Data'!$M315))),OR($BA$15="",ISNUMBER(SEARCH($BA$15,'All Data'!$K315&amp;" "&amp;'All Data'!$M315)))),1,0)</f>
        <v>1</v>
      </c>
      <c r="H315">
        <f t="shared" si="24"/>
        <v>0</v>
      </c>
      <c r="I315">
        <f>IF(AND($H315=1,'All Data'!$C315&lt;&gt;"",COUNTIFS($H$2:H314,1,'All Data'!$C$2:$C314,'All Data'!$C315)=0),1,0)</f>
        <v>0</v>
      </c>
      <c r="J315" t="str">
        <f>IF($I315=1,SUM($I$2:I315),"")</f>
        <v/>
      </c>
      <c r="K315">
        <f t="shared" si="25"/>
        <v>0</v>
      </c>
      <c r="L315">
        <f>IF(AND($K315=1,'All Data'!$D315&lt;&gt;"",COUNTIFS($K$2:K314,1,'All Data'!$D$2:$D314,'All Data'!$D315)=0),1,0)</f>
        <v>0</v>
      </c>
      <c r="M315" t="str">
        <f>IF($L315=1,SUM($L$2:L315),"")</f>
        <v/>
      </c>
      <c r="N315">
        <f t="shared" si="26"/>
        <v>0</v>
      </c>
      <c r="O315">
        <f>IF(AND($N315=1,'All Data'!$E315&lt;&gt;"",COUNTIFS($N$2:N314,1,'All Data'!$E$2:$E314,'All Data'!$E315)=0),1,0)</f>
        <v>0</v>
      </c>
      <c r="P315" t="str">
        <f>IF($O315=1,SUM($O$2:O315),"")</f>
        <v/>
      </c>
      <c r="Q315">
        <f t="shared" si="27"/>
        <v>0</v>
      </c>
      <c r="R315">
        <f>IF(AND($Q315=1,'All Data'!$F315&lt;&gt;"",COUNTIFS($Q$2:Q314,1,'All Data'!$F$2:$F314,'All Data'!$F315)=0),1,0)</f>
        <v>0</v>
      </c>
      <c r="S315" t="str">
        <f>IF($R315=1,SUM($R$2:R315),"")</f>
        <v/>
      </c>
      <c r="T315">
        <f t="shared" si="28"/>
        <v>0</v>
      </c>
      <c r="U315">
        <f>IF(AND($T315=1,'All Data'!$G315&lt;&gt;"",COUNTIFS($T$2:T314,1,'All Data'!$G$2:$G314,'All Data'!$G315)=0),1,0)</f>
        <v>0</v>
      </c>
      <c r="V315" t="str">
        <f>IF($U315=1,SUM($U$2:U315),"")</f>
        <v/>
      </c>
      <c r="W315">
        <f t="shared" si="29"/>
        <v>0</v>
      </c>
      <c r="X315" t="str">
        <f>IF($W315=1,SUM($W$2:W315),"")</f>
        <v/>
      </c>
    </row>
    <row r="316" spans="1:24" x14ac:dyDescent="0.3">
      <c r="A316">
        <f>IF(OR($BA1="Any",$BA1=""),1,IF('All Data'!$B316=$BA1,1,0))</f>
        <v>0</v>
      </c>
      <c r="B316">
        <f>IF(OR($BA2="Any",$BA2=""),1,IF('All Data'!$C316=$BA2,1,0))</f>
        <v>1</v>
      </c>
      <c r="C316">
        <f>IF(OR($BA3="Any",$BA3=""),1,IF('All Data'!$D316=$BA3,1,0))</f>
        <v>1</v>
      </c>
      <c r="D316">
        <f>IF(OR($BA4="Any",$BA4=""),1,IF('All Data'!$E316=$BA4,1,0))</f>
        <v>1</v>
      </c>
      <c r="E316">
        <f>IF(OR($BA5="Any",$BA5=""),1,IF('All Data'!$F316=$BA5,1,0))</f>
        <v>1</v>
      </c>
      <c r="F316">
        <f>IF(OR($BA6="Any",$BA6=""),1,IF('All Data'!$G316=$BA6,1,0))</f>
        <v>0</v>
      </c>
      <c r="G316">
        <f>IF(AND(OR($BA$8="",ISNUMBER(SEARCH($BA$8,'All Data'!$K316&amp;" "&amp;'All Data'!$M316))),OR($BA$9="",ISNUMBER(SEARCH($BA$9,'All Data'!$K316&amp;" "&amp;'All Data'!$M316))),OR($BA$10="",ISNUMBER(SEARCH($BA$10,'All Data'!$K316&amp;" "&amp;'All Data'!$M316))),OR($BA$11="",ISNUMBER(SEARCH($BA$11,'All Data'!$K316&amp;" "&amp;'All Data'!$M316))),OR($BA$12="",ISNUMBER(SEARCH($BA$12,'All Data'!$K316&amp;" "&amp;'All Data'!$M316))),OR($BA$13="",ISNUMBER(SEARCH($BA$13,'All Data'!$K316&amp;" "&amp;'All Data'!$M316))),OR($BA$14="",ISNUMBER(SEARCH($BA$14,'All Data'!$K316&amp;" "&amp;'All Data'!$M316))),OR($BA$15="",ISNUMBER(SEARCH($BA$15,'All Data'!$K316&amp;" "&amp;'All Data'!$M316)))),1,0)</f>
        <v>1</v>
      </c>
      <c r="H316">
        <f t="shared" si="24"/>
        <v>0</v>
      </c>
      <c r="I316">
        <f>IF(AND($H316=1,'All Data'!$C316&lt;&gt;"",COUNTIFS($H$2:H315,1,'All Data'!$C$2:$C315,'All Data'!$C316)=0),1,0)</f>
        <v>0</v>
      </c>
      <c r="J316" t="str">
        <f>IF($I316=1,SUM($I$2:I316),"")</f>
        <v/>
      </c>
      <c r="K316">
        <f t="shared" si="25"/>
        <v>0</v>
      </c>
      <c r="L316">
        <f>IF(AND($K316=1,'All Data'!$D316&lt;&gt;"",COUNTIFS($K$2:K315,1,'All Data'!$D$2:$D315,'All Data'!$D316)=0),1,0)</f>
        <v>0</v>
      </c>
      <c r="M316" t="str">
        <f>IF($L316=1,SUM($L$2:L316),"")</f>
        <v/>
      </c>
      <c r="N316">
        <f t="shared" si="26"/>
        <v>0</v>
      </c>
      <c r="O316">
        <f>IF(AND($N316=1,'All Data'!$E316&lt;&gt;"",COUNTIFS($N$2:N315,1,'All Data'!$E$2:$E315,'All Data'!$E316)=0),1,0)</f>
        <v>0</v>
      </c>
      <c r="P316" t="str">
        <f>IF($O316=1,SUM($O$2:O316),"")</f>
        <v/>
      </c>
      <c r="Q316">
        <f t="shared" si="27"/>
        <v>0</v>
      </c>
      <c r="R316">
        <f>IF(AND($Q316=1,'All Data'!$F316&lt;&gt;"",COUNTIFS($Q$2:Q315,1,'All Data'!$F$2:$F315,'All Data'!$F316)=0),1,0)</f>
        <v>0</v>
      </c>
      <c r="S316" t="str">
        <f>IF($R316=1,SUM($R$2:R316),"")</f>
        <v/>
      </c>
      <c r="T316">
        <f t="shared" si="28"/>
        <v>0</v>
      </c>
      <c r="U316">
        <f>IF(AND($T316=1,'All Data'!$G316&lt;&gt;"",COUNTIFS($T$2:T315,1,'All Data'!$G$2:$G315,'All Data'!$G316)=0),1,0)</f>
        <v>0</v>
      </c>
      <c r="V316" t="str">
        <f>IF($U316=1,SUM($U$2:U316),"")</f>
        <v/>
      </c>
      <c r="W316">
        <f t="shared" si="29"/>
        <v>0</v>
      </c>
      <c r="X316" t="str">
        <f>IF($W316=1,SUM($W$2:W316),"")</f>
        <v/>
      </c>
    </row>
    <row r="317" spans="1:24" x14ac:dyDescent="0.3">
      <c r="A317">
        <f>IF(OR($BA1="Any",$BA1=""),1,IF('All Data'!$B317=$BA1,1,0))</f>
        <v>0</v>
      </c>
      <c r="B317">
        <f>IF(OR($BA2="Any",$BA2=""),1,IF('All Data'!$C317=$BA2,1,0))</f>
        <v>1</v>
      </c>
      <c r="C317">
        <f>IF(OR($BA3="Any",$BA3=""),1,IF('All Data'!$D317=$BA3,1,0))</f>
        <v>1</v>
      </c>
      <c r="D317">
        <f>IF(OR($BA4="Any",$BA4=""),1,IF('All Data'!$E317=$BA4,1,0))</f>
        <v>1</v>
      </c>
      <c r="E317">
        <f>IF(OR($BA5="Any",$BA5=""),1,IF('All Data'!$F317=$BA5,1,0))</f>
        <v>1</v>
      </c>
      <c r="F317">
        <f>IF(OR($BA6="Any",$BA6=""),1,IF('All Data'!$G317=$BA6,1,0))</f>
        <v>0</v>
      </c>
      <c r="G317">
        <f>IF(AND(OR($BA$8="",ISNUMBER(SEARCH($BA$8,'All Data'!$K317&amp;" "&amp;'All Data'!$M317))),OR($BA$9="",ISNUMBER(SEARCH($BA$9,'All Data'!$K317&amp;" "&amp;'All Data'!$M317))),OR($BA$10="",ISNUMBER(SEARCH($BA$10,'All Data'!$K317&amp;" "&amp;'All Data'!$M317))),OR($BA$11="",ISNUMBER(SEARCH($BA$11,'All Data'!$K317&amp;" "&amp;'All Data'!$M317))),OR($BA$12="",ISNUMBER(SEARCH($BA$12,'All Data'!$K317&amp;" "&amp;'All Data'!$M317))),OR($BA$13="",ISNUMBER(SEARCH($BA$13,'All Data'!$K317&amp;" "&amp;'All Data'!$M317))),OR($BA$14="",ISNUMBER(SEARCH($BA$14,'All Data'!$K317&amp;" "&amp;'All Data'!$M317))),OR($BA$15="",ISNUMBER(SEARCH($BA$15,'All Data'!$K317&amp;" "&amp;'All Data'!$M317)))),1,0)</f>
        <v>1</v>
      </c>
      <c r="H317">
        <f t="shared" si="24"/>
        <v>0</v>
      </c>
      <c r="I317">
        <f>IF(AND($H317=1,'All Data'!$C317&lt;&gt;"",COUNTIFS($H$2:H316,1,'All Data'!$C$2:$C316,'All Data'!$C317)=0),1,0)</f>
        <v>0</v>
      </c>
      <c r="J317" t="str">
        <f>IF($I317=1,SUM($I$2:I317),"")</f>
        <v/>
      </c>
      <c r="K317">
        <f t="shared" si="25"/>
        <v>0</v>
      </c>
      <c r="L317">
        <f>IF(AND($K317=1,'All Data'!$D317&lt;&gt;"",COUNTIFS($K$2:K316,1,'All Data'!$D$2:$D316,'All Data'!$D317)=0),1,0)</f>
        <v>0</v>
      </c>
      <c r="M317" t="str">
        <f>IF($L317=1,SUM($L$2:L317),"")</f>
        <v/>
      </c>
      <c r="N317">
        <f t="shared" si="26"/>
        <v>0</v>
      </c>
      <c r="O317">
        <f>IF(AND($N317=1,'All Data'!$E317&lt;&gt;"",COUNTIFS($N$2:N316,1,'All Data'!$E$2:$E316,'All Data'!$E317)=0),1,0)</f>
        <v>0</v>
      </c>
      <c r="P317" t="str">
        <f>IF($O317=1,SUM($O$2:O317),"")</f>
        <v/>
      </c>
      <c r="Q317">
        <f t="shared" si="27"/>
        <v>0</v>
      </c>
      <c r="R317">
        <f>IF(AND($Q317=1,'All Data'!$F317&lt;&gt;"",COUNTIFS($Q$2:Q316,1,'All Data'!$F$2:$F316,'All Data'!$F317)=0),1,0)</f>
        <v>0</v>
      </c>
      <c r="S317" t="str">
        <f>IF($R317=1,SUM($R$2:R317),"")</f>
        <v/>
      </c>
      <c r="T317">
        <f t="shared" si="28"/>
        <v>0</v>
      </c>
      <c r="U317">
        <f>IF(AND($T317=1,'All Data'!$G317&lt;&gt;"",COUNTIFS($T$2:T316,1,'All Data'!$G$2:$G316,'All Data'!$G317)=0),1,0)</f>
        <v>0</v>
      </c>
      <c r="V317" t="str">
        <f>IF($U317=1,SUM($U$2:U317),"")</f>
        <v/>
      </c>
      <c r="W317">
        <f t="shared" si="29"/>
        <v>0</v>
      </c>
      <c r="X317" t="str">
        <f>IF($W317=1,SUM($W$2:W317),"")</f>
        <v/>
      </c>
    </row>
    <row r="318" spans="1:24" x14ac:dyDescent="0.3">
      <c r="A318">
        <f>IF(OR($BA1="Any",$BA1=""),1,IF('All Data'!$B318=$BA1,1,0))</f>
        <v>0</v>
      </c>
      <c r="B318">
        <f>IF(OR($BA2="Any",$BA2=""),1,IF('All Data'!$C318=$BA2,1,0))</f>
        <v>1</v>
      </c>
      <c r="C318">
        <f>IF(OR($BA3="Any",$BA3=""),1,IF('All Data'!$D318=$BA3,1,0))</f>
        <v>1</v>
      </c>
      <c r="D318">
        <f>IF(OR($BA4="Any",$BA4=""),1,IF('All Data'!$E318=$BA4,1,0))</f>
        <v>1</v>
      </c>
      <c r="E318">
        <f>IF(OR($BA5="Any",$BA5=""),1,IF('All Data'!$F318=$BA5,1,0))</f>
        <v>1</v>
      </c>
      <c r="F318">
        <f>IF(OR($BA6="Any",$BA6=""),1,IF('All Data'!$G318=$BA6,1,0))</f>
        <v>0</v>
      </c>
      <c r="G318">
        <f>IF(AND(OR($BA$8="",ISNUMBER(SEARCH($BA$8,'All Data'!$K318&amp;" "&amp;'All Data'!$M318))),OR($BA$9="",ISNUMBER(SEARCH($BA$9,'All Data'!$K318&amp;" "&amp;'All Data'!$M318))),OR($BA$10="",ISNUMBER(SEARCH($BA$10,'All Data'!$K318&amp;" "&amp;'All Data'!$M318))),OR($BA$11="",ISNUMBER(SEARCH($BA$11,'All Data'!$K318&amp;" "&amp;'All Data'!$M318))),OR($BA$12="",ISNUMBER(SEARCH($BA$12,'All Data'!$K318&amp;" "&amp;'All Data'!$M318))),OR($BA$13="",ISNUMBER(SEARCH($BA$13,'All Data'!$K318&amp;" "&amp;'All Data'!$M318))),OR($BA$14="",ISNUMBER(SEARCH($BA$14,'All Data'!$K318&amp;" "&amp;'All Data'!$M318))),OR($BA$15="",ISNUMBER(SEARCH($BA$15,'All Data'!$K318&amp;" "&amp;'All Data'!$M318)))),1,0)</f>
        <v>1</v>
      </c>
      <c r="H318">
        <f t="shared" si="24"/>
        <v>0</v>
      </c>
      <c r="I318">
        <f>IF(AND($H318=1,'All Data'!$C318&lt;&gt;"",COUNTIFS($H$2:H317,1,'All Data'!$C$2:$C317,'All Data'!$C318)=0),1,0)</f>
        <v>0</v>
      </c>
      <c r="J318" t="str">
        <f>IF($I318=1,SUM($I$2:I318),"")</f>
        <v/>
      </c>
      <c r="K318">
        <f t="shared" si="25"/>
        <v>0</v>
      </c>
      <c r="L318">
        <f>IF(AND($K318=1,'All Data'!$D318&lt;&gt;"",COUNTIFS($K$2:K317,1,'All Data'!$D$2:$D317,'All Data'!$D318)=0),1,0)</f>
        <v>0</v>
      </c>
      <c r="M318" t="str">
        <f>IF($L318=1,SUM($L$2:L318),"")</f>
        <v/>
      </c>
      <c r="N318">
        <f t="shared" si="26"/>
        <v>0</v>
      </c>
      <c r="O318">
        <f>IF(AND($N318=1,'All Data'!$E318&lt;&gt;"",COUNTIFS($N$2:N317,1,'All Data'!$E$2:$E317,'All Data'!$E318)=0),1,0)</f>
        <v>0</v>
      </c>
      <c r="P318" t="str">
        <f>IF($O318=1,SUM($O$2:O318),"")</f>
        <v/>
      </c>
      <c r="Q318">
        <f t="shared" si="27"/>
        <v>0</v>
      </c>
      <c r="R318">
        <f>IF(AND($Q318=1,'All Data'!$F318&lt;&gt;"",COUNTIFS($Q$2:Q317,1,'All Data'!$F$2:$F317,'All Data'!$F318)=0),1,0)</f>
        <v>0</v>
      </c>
      <c r="S318" t="str">
        <f>IF($R318=1,SUM($R$2:R318),"")</f>
        <v/>
      </c>
      <c r="T318">
        <f t="shared" si="28"/>
        <v>0</v>
      </c>
      <c r="U318">
        <f>IF(AND($T318=1,'All Data'!$G318&lt;&gt;"",COUNTIFS($T$2:T317,1,'All Data'!$G$2:$G317,'All Data'!$G318)=0),1,0)</f>
        <v>0</v>
      </c>
      <c r="V318" t="str">
        <f>IF($U318=1,SUM($U$2:U318),"")</f>
        <v/>
      </c>
      <c r="W318">
        <f t="shared" si="29"/>
        <v>0</v>
      </c>
      <c r="X318" t="str">
        <f>IF($W318=1,SUM($W$2:W318),"")</f>
        <v/>
      </c>
    </row>
    <row r="319" spans="1:24" x14ac:dyDescent="0.3">
      <c r="A319">
        <f>IF(OR($BA1="Any",$BA1=""),1,IF('All Data'!$B319=$BA1,1,0))</f>
        <v>0</v>
      </c>
      <c r="B319">
        <f>IF(OR($BA2="Any",$BA2=""),1,IF('All Data'!$C319=$BA2,1,0))</f>
        <v>1</v>
      </c>
      <c r="C319">
        <f>IF(OR($BA3="Any",$BA3=""),1,IF('All Data'!$D319=$BA3,1,0))</f>
        <v>1</v>
      </c>
      <c r="D319">
        <f>IF(OR($BA4="Any",$BA4=""),1,IF('All Data'!$E319=$BA4,1,0))</f>
        <v>1</v>
      </c>
      <c r="E319">
        <f>IF(OR($BA5="Any",$BA5=""),1,IF('All Data'!$F319=$BA5,1,0))</f>
        <v>1</v>
      </c>
      <c r="F319">
        <f>IF(OR($BA6="Any",$BA6=""),1,IF('All Data'!$G319=$BA6,1,0))</f>
        <v>0</v>
      </c>
      <c r="G319">
        <f>IF(AND(OR($BA$8="",ISNUMBER(SEARCH($BA$8,'All Data'!$K319&amp;" "&amp;'All Data'!$M319))),OR($BA$9="",ISNUMBER(SEARCH($BA$9,'All Data'!$K319&amp;" "&amp;'All Data'!$M319))),OR($BA$10="",ISNUMBER(SEARCH($BA$10,'All Data'!$K319&amp;" "&amp;'All Data'!$M319))),OR($BA$11="",ISNUMBER(SEARCH($BA$11,'All Data'!$K319&amp;" "&amp;'All Data'!$M319))),OR($BA$12="",ISNUMBER(SEARCH($BA$12,'All Data'!$K319&amp;" "&amp;'All Data'!$M319))),OR($BA$13="",ISNUMBER(SEARCH($BA$13,'All Data'!$K319&amp;" "&amp;'All Data'!$M319))),OR($BA$14="",ISNUMBER(SEARCH($BA$14,'All Data'!$K319&amp;" "&amp;'All Data'!$M319))),OR($BA$15="",ISNUMBER(SEARCH($BA$15,'All Data'!$K319&amp;" "&amp;'All Data'!$M319)))),1,0)</f>
        <v>1</v>
      </c>
      <c r="H319">
        <f t="shared" si="24"/>
        <v>0</v>
      </c>
      <c r="I319">
        <f>IF(AND($H319=1,'All Data'!$C319&lt;&gt;"",COUNTIFS($H$2:H318,1,'All Data'!$C$2:$C318,'All Data'!$C319)=0),1,0)</f>
        <v>0</v>
      </c>
      <c r="J319" t="str">
        <f>IF($I319=1,SUM($I$2:I319),"")</f>
        <v/>
      </c>
      <c r="K319">
        <f t="shared" si="25"/>
        <v>0</v>
      </c>
      <c r="L319">
        <f>IF(AND($K319=1,'All Data'!$D319&lt;&gt;"",COUNTIFS($K$2:K318,1,'All Data'!$D$2:$D318,'All Data'!$D319)=0),1,0)</f>
        <v>0</v>
      </c>
      <c r="M319" t="str">
        <f>IF($L319=1,SUM($L$2:L319),"")</f>
        <v/>
      </c>
      <c r="N319">
        <f t="shared" si="26"/>
        <v>0</v>
      </c>
      <c r="O319">
        <f>IF(AND($N319=1,'All Data'!$E319&lt;&gt;"",COUNTIFS($N$2:N318,1,'All Data'!$E$2:$E318,'All Data'!$E319)=0),1,0)</f>
        <v>0</v>
      </c>
      <c r="P319" t="str">
        <f>IF($O319=1,SUM($O$2:O319),"")</f>
        <v/>
      </c>
      <c r="Q319">
        <f t="shared" si="27"/>
        <v>0</v>
      </c>
      <c r="R319">
        <f>IF(AND($Q319=1,'All Data'!$F319&lt;&gt;"",COUNTIFS($Q$2:Q318,1,'All Data'!$F$2:$F318,'All Data'!$F319)=0),1,0)</f>
        <v>0</v>
      </c>
      <c r="S319" t="str">
        <f>IF($R319=1,SUM($R$2:R319),"")</f>
        <v/>
      </c>
      <c r="T319">
        <f t="shared" si="28"/>
        <v>0</v>
      </c>
      <c r="U319">
        <f>IF(AND($T319=1,'All Data'!$G319&lt;&gt;"",COUNTIFS($T$2:T318,1,'All Data'!$G$2:$G318,'All Data'!$G319)=0),1,0)</f>
        <v>0</v>
      </c>
      <c r="V319" t="str">
        <f>IF($U319=1,SUM($U$2:U319),"")</f>
        <v/>
      </c>
      <c r="W319">
        <f t="shared" si="29"/>
        <v>0</v>
      </c>
      <c r="X319" t="str">
        <f>IF($W319=1,SUM($W$2:W319),"")</f>
        <v/>
      </c>
    </row>
    <row r="320" spans="1:24" x14ac:dyDescent="0.3">
      <c r="A320">
        <f>IF(OR($BA1="Any",$BA1=""),1,IF('All Data'!$B320=$BA1,1,0))</f>
        <v>0</v>
      </c>
      <c r="B320">
        <f>IF(OR($BA2="Any",$BA2=""),1,IF('All Data'!$C320=$BA2,1,0))</f>
        <v>1</v>
      </c>
      <c r="C320">
        <f>IF(OR($BA3="Any",$BA3=""),1,IF('All Data'!$D320=$BA3,1,0))</f>
        <v>1</v>
      </c>
      <c r="D320">
        <f>IF(OR($BA4="Any",$BA4=""),1,IF('All Data'!$E320=$BA4,1,0))</f>
        <v>1</v>
      </c>
      <c r="E320">
        <f>IF(OR($BA5="Any",$BA5=""),1,IF('All Data'!$F320=$BA5,1,0))</f>
        <v>1</v>
      </c>
      <c r="F320">
        <f>IF(OR($BA6="Any",$BA6=""),1,IF('All Data'!$G320=$BA6,1,0))</f>
        <v>0</v>
      </c>
      <c r="G320">
        <f>IF(AND(OR($BA$8="",ISNUMBER(SEARCH($BA$8,'All Data'!$K320&amp;" "&amp;'All Data'!$M320))),OR($BA$9="",ISNUMBER(SEARCH($BA$9,'All Data'!$K320&amp;" "&amp;'All Data'!$M320))),OR($BA$10="",ISNUMBER(SEARCH($BA$10,'All Data'!$K320&amp;" "&amp;'All Data'!$M320))),OR($BA$11="",ISNUMBER(SEARCH($BA$11,'All Data'!$K320&amp;" "&amp;'All Data'!$M320))),OR($BA$12="",ISNUMBER(SEARCH($BA$12,'All Data'!$K320&amp;" "&amp;'All Data'!$M320))),OR($BA$13="",ISNUMBER(SEARCH($BA$13,'All Data'!$K320&amp;" "&amp;'All Data'!$M320))),OR($BA$14="",ISNUMBER(SEARCH($BA$14,'All Data'!$K320&amp;" "&amp;'All Data'!$M320))),OR($BA$15="",ISNUMBER(SEARCH($BA$15,'All Data'!$K320&amp;" "&amp;'All Data'!$M320)))),1,0)</f>
        <v>1</v>
      </c>
      <c r="H320">
        <f t="shared" si="24"/>
        <v>0</v>
      </c>
      <c r="I320">
        <f>IF(AND($H320=1,'All Data'!$C320&lt;&gt;"",COUNTIFS($H$2:H319,1,'All Data'!$C$2:$C319,'All Data'!$C320)=0),1,0)</f>
        <v>0</v>
      </c>
      <c r="J320" t="str">
        <f>IF($I320=1,SUM($I$2:I320),"")</f>
        <v/>
      </c>
      <c r="K320">
        <f t="shared" si="25"/>
        <v>0</v>
      </c>
      <c r="L320">
        <f>IF(AND($K320=1,'All Data'!$D320&lt;&gt;"",COUNTIFS($K$2:K319,1,'All Data'!$D$2:$D319,'All Data'!$D320)=0),1,0)</f>
        <v>0</v>
      </c>
      <c r="M320" t="str">
        <f>IF($L320=1,SUM($L$2:L320),"")</f>
        <v/>
      </c>
      <c r="N320">
        <f t="shared" si="26"/>
        <v>0</v>
      </c>
      <c r="O320">
        <f>IF(AND($N320=1,'All Data'!$E320&lt;&gt;"",COUNTIFS($N$2:N319,1,'All Data'!$E$2:$E319,'All Data'!$E320)=0),1,0)</f>
        <v>0</v>
      </c>
      <c r="P320" t="str">
        <f>IF($O320=1,SUM($O$2:O320),"")</f>
        <v/>
      </c>
      <c r="Q320">
        <f t="shared" si="27"/>
        <v>0</v>
      </c>
      <c r="R320">
        <f>IF(AND($Q320=1,'All Data'!$F320&lt;&gt;"",COUNTIFS($Q$2:Q319,1,'All Data'!$F$2:$F319,'All Data'!$F320)=0),1,0)</f>
        <v>0</v>
      </c>
      <c r="S320" t="str">
        <f>IF($R320=1,SUM($R$2:R320),"")</f>
        <v/>
      </c>
      <c r="T320">
        <f t="shared" si="28"/>
        <v>0</v>
      </c>
      <c r="U320">
        <f>IF(AND($T320=1,'All Data'!$G320&lt;&gt;"",COUNTIFS($T$2:T319,1,'All Data'!$G$2:$G319,'All Data'!$G320)=0),1,0)</f>
        <v>0</v>
      </c>
      <c r="V320" t="str">
        <f>IF($U320=1,SUM($U$2:U320),"")</f>
        <v/>
      </c>
      <c r="W320">
        <f t="shared" si="29"/>
        <v>0</v>
      </c>
      <c r="X320" t="str">
        <f>IF($W320=1,SUM($W$2:W320),"")</f>
        <v/>
      </c>
    </row>
    <row r="321" spans="1:24" x14ac:dyDescent="0.3">
      <c r="A321">
        <f>IF(OR($BA1="Any",$BA1=""),1,IF('All Data'!$B321=$BA1,1,0))</f>
        <v>0</v>
      </c>
      <c r="B321">
        <f>IF(OR($BA2="Any",$BA2=""),1,IF('All Data'!$C321=$BA2,1,0))</f>
        <v>1</v>
      </c>
      <c r="C321">
        <f>IF(OR($BA3="Any",$BA3=""),1,IF('All Data'!$D321=$BA3,1,0))</f>
        <v>1</v>
      </c>
      <c r="D321">
        <f>IF(OR($BA4="Any",$BA4=""),1,IF('All Data'!$E321=$BA4,1,0))</f>
        <v>1</v>
      </c>
      <c r="E321">
        <f>IF(OR($BA5="Any",$BA5=""),1,IF('All Data'!$F321=$BA5,1,0))</f>
        <v>1</v>
      </c>
      <c r="F321">
        <f>IF(OR($BA6="Any",$BA6=""),1,IF('All Data'!$G321=$BA6,1,0))</f>
        <v>0</v>
      </c>
      <c r="G321">
        <f>IF(AND(OR($BA$8="",ISNUMBER(SEARCH($BA$8,'All Data'!$K321&amp;" "&amp;'All Data'!$M321))),OR($BA$9="",ISNUMBER(SEARCH($BA$9,'All Data'!$K321&amp;" "&amp;'All Data'!$M321))),OR($BA$10="",ISNUMBER(SEARCH($BA$10,'All Data'!$K321&amp;" "&amp;'All Data'!$M321))),OR($BA$11="",ISNUMBER(SEARCH($BA$11,'All Data'!$K321&amp;" "&amp;'All Data'!$M321))),OR($BA$12="",ISNUMBER(SEARCH($BA$12,'All Data'!$K321&amp;" "&amp;'All Data'!$M321))),OR($BA$13="",ISNUMBER(SEARCH($BA$13,'All Data'!$K321&amp;" "&amp;'All Data'!$M321))),OR($BA$14="",ISNUMBER(SEARCH($BA$14,'All Data'!$K321&amp;" "&amp;'All Data'!$M321))),OR($BA$15="",ISNUMBER(SEARCH($BA$15,'All Data'!$K321&amp;" "&amp;'All Data'!$M321)))),1,0)</f>
        <v>1</v>
      </c>
      <c r="H321">
        <f t="shared" si="24"/>
        <v>0</v>
      </c>
      <c r="I321">
        <f>IF(AND($H321=1,'All Data'!$C321&lt;&gt;"",COUNTIFS($H$2:H320,1,'All Data'!$C$2:$C320,'All Data'!$C321)=0),1,0)</f>
        <v>0</v>
      </c>
      <c r="J321" t="str">
        <f>IF($I321=1,SUM($I$2:I321),"")</f>
        <v/>
      </c>
      <c r="K321">
        <f t="shared" si="25"/>
        <v>0</v>
      </c>
      <c r="L321">
        <f>IF(AND($K321=1,'All Data'!$D321&lt;&gt;"",COUNTIFS($K$2:K320,1,'All Data'!$D$2:$D320,'All Data'!$D321)=0),1,0)</f>
        <v>0</v>
      </c>
      <c r="M321" t="str">
        <f>IF($L321=1,SUM($L$2:L321),"")</f>
        <v/>
      </c>
      <c r="N321">
        <f t="shared" si="26"/>
        <v>0</v>
      </c>
      <c r="O321">
        <f>IF(AND($N321=1,'All Data'!$E321&lt;&gt;"",COUNTIFS($N$2:N320,1,'All Data'!$E$2:$E320,'All Data'!$E321)=0),1,0)</f>
        <v>0</v>
      </c>
      <c r="P321" t="str">
        <f>IF($O321=1,SUM($O$2:O321),"")</f>
        <v/>
      </c>
      <c r="Q321">
        <f t="shared" si="27"/>
        <v>0</v>
      </c>
      <c r="R321">
        <f>IF(AND($Q321=1,'All Data'!$F321&lt;&gt;"",COUNTIFS($Q$2:Q320,1,'All Data'!$F$2:$F320,'All Data'!$F321)=0),1,0)</f>
        <v>0</v>
      </c>
      <c r="S321" t="str">
        <f>IF($R321=1,SUM($R$2:R321),"")</f>
        <v/>
      </c>
      <c r="T321">
        <f t="shared" si="28"/>
        <v>0</v>
      </c>
      <c r="U321">
        <f>IF(AND($T321=1,'All Data'!$G321&lt;&gt;"",COUNTIFS($T$2:T320,1,'All Data'!$G$2:$G320,'All Data'!$G321)=0),1,0)</f>
        <v>0</v>
      </c>
      <c r="V321" t="str">
        <f>IF($U321=1,SUM($U$2:U321),"")</f>
        <v/>
      </c>
      <c r="W321">
        <f t="shared" si="29"/>
        <v>0</v>
      </c>
      <c r="X321" t="str">
        <f>IF($W321=1,SUM($W$2:W321),"")</f>
        <v/>
      </c>
    </row>
    <row r="322" spans="1:24" x14ac:dyDescent="0.3">
      <c r="A322">
        <f>IF(OR($BA1="Any",$BA1=""),1,IF('All Data'!$B322=$BA1,1,0))</f>
        <v>0</v>
      </c>
      <c r="B322">
        <f>IF(OR($BA2="Any",$BA2=""),1,IF('All Data'!$C322=$BA2,1,0))</f>
        <v>1</v>
      </c>
      <c r="C322">
        <f>IF(OR($BA3="Any",$BA3=""),1,IF('All Data'!$D322=$BA3,1,0))</f>
        <v>1</v>
      </c>
      <c r="D322">
        <f>IF(OR($BA4="Any",$BA4=""),1,IF('All Data'!$E322=$BA4,1,0))</f>
        <v>1</v>
      </c>
      <c r="E322">
        <f>IF(OR($BA5="Any",$BA5=""),1,IF('All Data'!$F322=$BA5,1,0))</f>
        <v>1</v>
      </c>
      <c r="F322">
        <f>IF(OR($BA6="Any",$BA6=""),1,IF('All Data'!$G322=$BA6,1,0))</f>
        <v>0</v>
      </c>
      <c r="G322">
        <f>IF(AND(OR($BA$8="",ISNUMBER(SEARCH($BA$8,'All Data'!$K322&amp;" "&amp;'All Data'!$M322))),OR($BA$9="",ISNUMBER(SEARCH($BA$9,'All Data'!$K322&amp;" "&amp;'All Data'!$M322))),OR($BA$10="",ISNUMBER(SEARCH($BA$10,'All Data'!$K322&amp;" "&amp;'All Data'!$M322))),OR($BA$11="",ISNUMBER(SEARCH($BA$11,'All Data'!$K322&amp;" "&amp;'All Data'!$M322))),OR($BA$12="",ISNUMBER(SEARCH($BA$12,'All Data'!$K322&amp;" "&amp;'All Data'!$M322))),OR($BA$13="",ISNUMBER(SEARCH($BA$13,'All Data'!$K322&amp;" "&amp;'All Data'!$M322))),OR($BA$14="",ISNUMBER(SEARCH($BA$14,'All Data'!$K322&amp;" "&amp;'All Data'!$M322))),OR($BA$15="",ISNUMBER(SEARCH($BA$15,'All Data'!$K322&amp;" "&amp;'All Data'!$M322)))),1,0)</f>
        <v>1</v>
      </c>
      <c r="H322">
        <f t="shared" ref="H322:H385" si="30">$A322</f>
        <v>0</v>
      </c>
      <c r="I322">
        <f>IF(AND($H322=1,'All Data'!$C322&lt;&gt;"",COUNTIFS($H$2:H321,1,'All Data'!$C$2:$C321,'All Data'!$C322)=0),1,0)</f>
        <v>0</v>
      </c>
      <c r="J322" t="str">
        <f>IF($I322=1,SUM($I$2:I322),"")</f>
        <v/>
      </c>
      <c r="K322">
        <f t="shared" ref="K322:K385" si="31">$A322*$B322</f>
        <v>0</v>
      </c>
      <c r="L322">
        <f>IF(AND($K322=1,'All Data'!$D322&lt;&gt;"",COUNTIFS($K$2:K321,1,'All Data'!$D$2:$D321,'All Data'!$D322)=0),1,0)</f>
        <v>0</v>
      </c>
      <c r="M322" t="str">
        <f>IF($L322=1,SUM($L$2:L322),"")</f>
        <v/>
      </c>
      <c r="N322">
        <f t="shared" ref="N322:N385" si="32">$A322*$B322*$C322</f>
        <v>0</v>
      </c>
      <c r="O322">
        <f>IF(AND($N322=1,'All Data'!$E322&lt;&gt;"",COUNTIFS($N$2:N321,1,'All Data'!$E$2:$E321,'All Data'!$E322)=0),1,0)</f>
        <v>0</v>
      </c>
      <c r="P322" t="str">
        <f>IF($O322=1,SUM($O$2:O322),"")</f>
        <v/>
      </c>
      <c r="Q322">
        <f t="shared" ref="Q322:Q385" si="33">$A322*$B322*$C322*$D322</f>
        <v>0</v>
      </c>
      <c r="R322">
        <f>IF(AND($Q322=1,'All Data'!$F322&lt;&gt;"",COUNTIFS($Q$2:Q321,1,'All Data'!$F$2:$F321,'All Data'!$F322)=0),1,0)</f>
        <v>0</v>
      </c>
      <c r="S322" t="str">
        <f>IF($R322=1,SUM($R$2:R322),"")</f>
        <v/>
      </c>
      <c r="T322">
        <f t="shared" ref="T322:T385" si="34">$A322*$B322*$C322*$D322*$E322</f>
        <v>0</v>
      </c>
      <c r="U322">
        <f>IF(AND($T322=1,'All Data'!$G322&lt;&gt;"",COUNTIFS($T$2:T321,1,'All Data'!$G$2:$G321,'All Data'!$G322)=0),1,0)</f>
        <v>0</v>
      </c>
      <c r="V322" t="str">
        <f>IF($U322=1,SUM($U$2:U322),"")</f>
        <v/>
      </c>
      <c r="W322">
        <f t="shared" ref="W322:W385" si="35">$A322*$B322*$C322*$D322*$E322*$F322*$G322</f>
        <v>0</v>
      </c>
      <c r="X322" t="str">
        <f>IF($W322=1,SUM($W$2:W322),"")</f>
        <v/>
      </c>
    </row>
    <row r="323" spans="1:24" x14ac:dyDescent="0.3">
      <c r="A323">
        <f>IF(OR($BA1="Any",$BA1=""),1,IF('All Data'!$B323=$BA1,1,0))</f>
        <v>0</v>
      </c>
      <c r="B323">
        <f>IF(OR($BA2="Any",$BA2=""),1,IF('All Data'!$C323=$BA2,1,0))</f>
        <v>1</v>
      </c>
      <c r="C323">
        <f>IF(OR($BA3="Any",$BA3=""),1,IF('All Data'!$D323=$BA3,1,0))</f>
        <v>1</v>
      </c>
      <c r="D323">
        <f>IF(OR($BA4="Any",$BA4=""),1,IF('All Data'!$E323=$BA4,1,0))</f>
        <v>1</v>
      </c>
      <c r="E323">
        <f>IF(OR($BA5="Any",$BA5=""),1,IF('All Data'!$F323=$BA5,1,0))</f>
        <v>1</v>
      </c>
      <c r="F323">
        <f>IF(OR($BA6="Any",$BA6=""),1,IF('All Data'!$G323=$BA6,1,0))</f>
        <v>0</v>
      </c>
      <c r="G323">
        <f>IF(AND(OR($BA$8="",ISNUMBER(SEARCH($BA$8,'All Data'!$K323&amp;" "&amp;'All Data'!$M323))),OR($BA$9="",ISNUMBER(SEARCH($BA$9,'All Data'!$K323&amp;" "&amp;'All Data'!$M323))),OR($BA$10="",ISNUMBER(SEARCH($BA$10,'All Data'!$K323&amp;" "&amp;'All Data'!$M323))),OR($BA$11="",ISNUMBER(SEARCH($BA$11,'All Data'!$K323&amp;" "&amp;'All Data'!$M323))),OR($BA$12="",ISNUMBER(SEARCH($BA$12,'All Data'!$K323&amp;" "&amp;'All Data'!$M323))),OR($BA$13="",ISNUMBER(SEARCH($BA$13,'All Data'!$K323&amp;" "&amp;'All Data'!$M323))),OR($BA$14="",ISNUMBER(SEARCH($BA$14,'All Data'!$K323&amp;" "&amp;'All Data'!$M323))),OR($BA$15="",ISNUMBER(SEARCH($BA$15,'All Data'!$K323&amp;" "&amp;'All Data'!$M323)))),1,0)</f>
        <v>1</v>
      </c>
      <c r="H323">
        <f t="shared" si="30"/>
        <v>0</v>
      </c>
      <c r="I323">
        <f>IF(AND($H323=1,'All Data'!$C323&lt;&gt;"",COUNTIFS($H$2:H322,1,'All Data'!$C$2:$C322,'All Data'!$C323)=0),1,0)</f>
        <v>0</v>
      </c>
      <c r="J323" t="str">
        <f>IF($I323=1,SUM($I$2:I323),"")</f>
        <v/>
      </c>
      <c r="K323">
        <f t="shared" si="31"/>
        <v>0</v>
      </c>
      <c r="L323">
        <f>IF(AND($K323=1,'All Data'!$D323&lt;&gt;"",COUNTIFS($K$2:K322,1,'All Data'!$D$2:$D322,'All Data'!$D323)=0),1,0)</f>
        <v>0</v>
      </c>
      <c r="M323" t="str">
        <f>IF($L323=1,SUM($L$2:L323),"")</f>
        <v/>
      </c>
      <c r="N323">
        <f t="shared" si="32"/>
        <v>0</v>
      </c>
      <c r="O323">
        <f>IF(AND($N323=1,'All Data'!$E323&lt;&gt;"",COUNTIFS($N$2:N322,1,'All Data'!$E$2:$E322,'All Data'!$E323)=0),1,0)</f>
        <v>0</v>
      </c>
      <c r="P323" t="str">
        <f>IF($O323=1,SUM($O$2:O323),"")</f>
        <v/>
      </c>
      <c r="Q323">
        <f t="shared" si="33"/>
        <v>0</v>
      </c>
      <c r="R323">
        <f>IF(AND($Q323=1,'All Data'!$F323&lt;&gt;"",COUNTIFS($Q$2:Q322,1,'All Data'!$F$2:$F322,'All Data'!$F323)=0),1,0)</f>
        <v>0</v>
      </c>
      <c r="S323" t="str">
        <f>IF($R323=1,SUM($R$2:R323),"")</f>
        <v/>
      </c>
      <c r="T323">
        <f t="shared" si="34"/>
        <v>0</v>
      </c>
      <c r="U323">
        <f>IF(AND($T323=1,'All Data'!$G323&lt;&gt;"",COUNTIFS($T$2:T322,1,'All Data'!$G$2:$G322,'All Data'!$G323)=0),1,0)</f>
        <v>0</v>
      </c>
      <c r="V323" t="str">
        <f>IF($U323=1,SUM($U$2:U323),"")</f>
        <v/>
      </c>
      <c r="W323">
        <f t="shared" si="35"/>
        <v>0</v>
      </c>
      <c r="X323" t="str">
        <f>IF($W323=1,SUM($W$2:W323),"")</f>
        <v/>
      </c>
    </row>
    <row r="324" spans="1:24" x14ac:dyDescent="0.3">
      <c r="A324">
        <f>IF(OR($BA1="Any",$BA1=""),1,IF('All Data'!$B324=$BA1,1,0))</f>
        <v>0</v>
      </c>
      <c r="B324">
        <f>IF(OR($BA2="Any",$BA2=""),1,IF('All Data'!$C324=$BA2,1,0))</f>
        <v>1</v>
      </c>
      <c r="C324">
        <f>IF(OR($BA3="Any",$BA3=""),1,IF('All Data'!$D324=$BA3,1,0))</f>
        <v>1</v>
      </c>
      <c r="D324">
        <f>IF(OR($BA4="Any",$BA4=""),1,IF('All Data'!$E324=$BA4,1,0))</f>
        <v>1</v>
      </c>
      <c r="E324">
        <f>IF(OR($BA5="Any",$BA5=""),1,IF('All Data'!$F324=$BA5,1,0))</f>
        <v>1</v>
      </c>
      <c r="F324">
        <f>IF(OR($BA6="Any",$BA6=""),1,IF('All Data'!$G324=$BA6,1,0))</f>
        <v>0</v>
      </c>
      <c r="G324">
        <f>IF(AND(OR($BA$8="",ISNUMBER(SEARCH($BA$8,'All Data'!$K324&amp;" "&amp;'All Data'!$M324))),OR($BA$9="",ISNUMBER(SEARCH($BA$9,'All Data'!$K324&amp;" "&amp;'All Data'!$M324))),OR($BA$10="",ISNUMBER(SEARCH($BA$10,'All Data'!$K324&amp;" "&amp;'All Data'!$M324))),OR($BA$11="",ISNUMBER(SEARCH($BA$11,'All Data'!$K324&amp;" "&amp;'All Data'!$M324))),OR($BA$12="",ISNUMBER(SEARCH($BA$12,'All Data'!$K324&amp;" "&amp;'All Data'!$M324))),OR($BA$13="",ISNUMBER(SEARCH($BA$13,'All Data'!$K324&amp;" "&amp;'All Data'!$M324))),OR($BA$14="",ISNUMBER(SEARCH($BA$14,'All Data'!$K324&amp;" "&amp;'All Data'!$M324))),OR($BA$15="",ISNUMBER(SEARCH($BA$15,'All Data'!$K324&amp;" "&amp;'All Data'!$M324)))),1,0)</f>
        <v>1</v>
      </c>
      <c r="H324">
        <f t="shared" si="30"/>
        <v>0</v>
      </c>
      <c r="I324">
        <f>IF(AND($H324=1,'All Data'!$C324&lt;&gt;"",COUNTIFS($H$2:H323,1,'All Data'!$C$2:$C323,'All Data'!$C324)=0),1,0)</f>
        <v>0</v>
      </c>
      <c r="J324" t="str">
        <f>IF($I324=1,SUM($I$2:I324),"")</f>
        <v/>
      </c>
      <c r="K324">
        <f t="shared" si="31"/>
        <v>0</v>
      </c>
      <c r="L324">
        <f>IF(AND($K324=1,'All Data'!$D324&lt;&gt;"",COUNTIFS($K$2:K323,1,'All Data'!$D$2:$D323,'All Data'!$D324)=0),1,0)</f>
        <v>0</v>
      </c>
      <c r="M324" t="str">
        <f>IF($L324=1,SUM($L$2:L324),"")</f>
        <v/>
      </c>
      <c r="N324">
        <f t="shared" si="32"/>
        <v>0</v>
      </c>
      <c r="O324">
        <f>IF(AND($N324=1,'All Data'!$E324&lt;&gt;"",COUNTIFS($N$2:N323,1,'All Data'!$E$2:$E323,'All Data'!$E324)=0),1,0)</f>
        <v>0</v>
      </c>
      <c r="P324" t="str">
        <f>IF($O324=1,SUM($O$2:O324),"")</f>
        <v/>
      </c>
      <c r="Q324">
        <f t="shared" si="33"/>
        <v>0</v>
      </c>
      <c r="R324">
        <f>IF(AND($Q324=1,'All Data'!$F324&lt;&gt;"",COUNTIFS($Q$2:Q323,1,'All Data'!$F$2:$F323,'All Data'!$F324)=0),1,0)</f>
        <v>0</v>
      </c>
      <c r="S324" t="str">
        <f>IF($R324=1,SUM($R$2:R324),"")</f>
        <v/>
      </c>
      <c r="T324">
        <f t="shared" si="34"/>
        <v>0</v>
      </c>
      <c r="U324">
        <f>IF(AND($T324=1,'All Data'!$G324&lt;&gt;"",COUNTIFS($T$2:T323,1,'All Data'!$G$2:$G323,'All Data'!$G324)=0),1,0)</f>
        <v>0</v>
      </c>
      <c r="V324" t="str">
        <f>IF($U324=1,SUM($U$2:U324),"")</f>
        <v/>
      </c>
      <c r="W324">
        <f t="shared" si="35"/>
        <v>0</v>
      </c>
      <c r="X324" t="str">
        <f>IF($W324=1,SUM($W$2:W324),"")</f>
        <v/>
      </c>
    </row>
    <row r="325" spans="1:24" x14ac:dyDescent="0.3">
      <c r="A325">
        <f>IF(OR($BA1="Any",$BA1=""),1,IF('All Data'!$B325=$BA1,1,0))</f>
        <v>0</v>
      </c>
      <c r="B325">
        <f>IF(OR($BA2="Any",$BA2=""),1,IF('All Data'!$C325=$BA2,1,0))</f>
        <v>1</v>
      </c>
      <c r="C325">
        <f>IF(OR($BA3="Any",$BA3=""),1,IF('All Data'!$D325=$BA3,1,0))</f>
        <v>1</v>
      </c>
      <c r="D325">
        <f>IF(OR($BA4="Any",$BA4=""),1,IF('All Data'!$E325=$BA4,1,0))</f>
        <v>1</v>
      </c>
      <c r="E325">
        <f>IF(OR($BA5="Any",$BA5=""),1,IF('All Data'!$F325=$BA5,1,0))</f>
        <v>1</v>
      </c>
      <c r="F325">
        <f>IF(OR($BA6="Any",$BA6=""),1,IF('All Data'!$G325=$BA6,1,0))</f>
        <v>1</v>
      </c>
      <c r="G325">
        <f>IF(AND(OR($BA$8="",ISNUMBER(SEARCH($BA$8,'All Data'!$K325&amp;" "&amp;'All Data'!$M325))),OR($BA$9="",ISNUMBER(SEARCH($BA$9,'All Data'!$K325&amp;" "&amp;'All Data'!$M325))),OR($BA$10="",ISNUMBER(SEARCH($BA$10,'All Data'!$K325&amp;" "&amp;'All Data'!$M325))),OR($BA$11="",ISNUMBER(SEARCH($BA$11,'All Data'!$K325&amp;" "&amp;'All Data'!$M325))),OR($BA$12="",ISNUMBER(SEARCH($BA$12,'All Data'!$K325&amp;" "&amp;'All Data'!$M325))),OR($BA$13="",ISNUMBER(SEARCH($BA$13,'All Data'!$K325&amp;" "&amp;'All Data'!$M325))),OR($BA$14="",ISNUMBER(SEARCH($BA$14,'All Data'!$K325&amp;" "&amp;'All Data'!$M325))),OR($BA$15="",ISNUMBER(SEARCH($BA$15,'All Data'!$K325&amp;" "&amp;'All Data'!$M325)))),1,0)</f>
        <v>1</v>
      </c>
      <c r="H325">
        <f t="shared" si="30"/>
        <v>0</v>
      </c>
      <c r="I325">
        <f>IF(AND($H325=1,'All Data'!$C325&lt;&gt;"",COUNTIFS($H$2:H324,1,'All Data'!$C$2:$C324,'All Data'!$C325)=0),1,0)</f>
        <v>0</v>
      </c>
      <c r="J325" t="str">
        <f>IF($I325=1,SUM($I$2:I325),"")</f>
        <v/>
      </c>
      <c r="K325">
        <f t="shared" si="31"/>
        <v>0</v>
      </c>
      <c r="L325">
        <f>IF(AND($K325=1,'All Data'!$D325&lt;&gt;"",COUNTIFS($K$2:K324,1,'All Data'!$D$2:$D324,'All Data'!$D325)=0),1,0)</f>
        <v>0</v>
      </c>
      <c r="M325" t="str">
        <f>IF($L325=1,SUM($L$2:L325),"")</f>
        <v/>
      </c>
      <c r="N325">
        <f t="shared" si="32"/>
        <v>0</v>
      </c>
      <c r="O325">
        <f>IF(AND($N325=1,'All Data'!$E325&lt;&gt;"",COUNTIFS($N$2:N324,1,'All Data'!$E$2:$E324,'All Data'!$E325)=0),1,0)</f>
        <v>0</v>
      </c>
      <c r="P325" t="str">
        <f>IF($O325=1,SUM($O$2:O325),"")</f>
        <v/>
      </c>
      <c r="Q325">
        <f t="shared" si="33"/>
        <v>0</v>
      </c>
      <c r="R325">
        <f>IF(AND($Q325=1,'All Data'!$F325&lt;&gt;"",COUNTIFS($Q$2:Q324,1,'All Data'!$F$2:$F324,'All Data'!$F325)=0),1,0)</f>
        <v>0</v>
      </c>
      <c r="S325" t="str">
        <f>IF($R325=1,SUM($R$2:R325),"")</f>
        <v/>
      </c>
      <c r="T325">
        <f t="shared" si="34"/>
        <v>0</v>
      </c>
      <c r="U325">
        <f>IF(AND($T325=1,'All Data'!$G325&lt;&gt;"",COUNTIFS($T$2:T324,1,'All Data'!$G$2:$G324,'All Data'!$G325)=0),1,0)</f>
        <v>0</v>
      </c>
      <c r="V325" t="str">
        <f>IF($U325=1,SUM($U$2:U325),"")</f>
        <v/>
      </c>
      <c r="W325">
        <f t="shared" si="35"/>
        <v>0</v>
      </c>
      <c r="X325" t="str">
        <f>IF($W325=1,SUM($W$2:W325),"")</f>
        <v/>
      </c>
    </row>
    <row r="326" spans="1:24" x14ac:dyDescent="0.3">
      <c r="A326">
        <f>IF(OR($BA1="Any",$BA1=""),1,IF('All Data'!$B326=$BA1,1,0))</f>
        <v>0</v>
      </c>
      <c r="B326">
        <f>IF(OR($BA2="Any",$BA2=""),1,IF('All Data'!$C326=$BA2,1,0))</f>
        <v>1</v>
      </c>
      <c r="C326">
        <f>IF(OR($BA3="Any",$BA3=""),1,IF('All Data'!$D326=$BA3,1,0))</f>
        <v>1</v>
      </c>
      <c r="D326">
        <f>IF(OR($BA4="Any",$BA4=""),1,IF('All Data'!$E326=$BA4,1,0))</f>
        <v>1</v>
      </c>
      <c r="E326">
        <f>IF(OR($BA5="Any",$BA5=""),1,IF('All Data'!$F326=$BA5,1,0))</f>
        <v>1</v>
      </c>
      <c r="F326">
        <f>IF(OR($BA6="Any",$BA6=""),1,IF('All Data'!$G326=$BA6,1,0))</f>
        <v>0</v>
      </c>
      <c r="G326">
        <f>IF(AND(OR($BA$8="",ISNUMBER(SEARCH($BA$8,'All Data'!$K326&amp;" "&amp;'All Data'!$M326))),OR($BA$9="",ISNUMBER(SEARCH($BA$9,'All Data'!$K326&amp;" "&amp;'All Data'!$M326))),OR($BA$10="",ISNUMBER(SEARCH($BA$10,'All Data'!$K326&amp;" "&amp;'All Data'!$M326))),OR($BA$11="",ISNUMBER(SEARCH($BA$11,'All Data'!$K326&amp;" "&amp;'All Data'!$M326))),OR($BA$12="",ISNUMBER(SEARCH($BA$12,'All Data'!$K326&amp;" "&amp;'All Data'!$M326))),OR($BA$13="",ISNUMBER(SEARCH($BA$13,'All Data'!$K326&amp;" "&amp;'All Data'!$M326))),OR($BA$14="",ISNUMBER(SEARCH($BA$14,'All Data'!$K326&amp;" "&amp;'All Data'!$M326))),OR($BA$15="",ISNUMBER(SEARCH($BA$15,'All Data'!$K326&amp;" "&amp;'All Data'!$M326)))),1,0)</f>
        <v>1</v>
      </c>
      <c r="H326">
        <f t="shared" si="30"/>
        <v>0</v>
      </c>
      <c r="I326">
        <f>IF(AND($H326=1,'All Data'!$C326&lt;&gt;"",COUNTIFS($H$2:H325,1,'All Data'!$C$2:$C325,'All Data'!$C326)=0),1,0)</f>
        <v>0</v>
      </c>
      <c r="J326" t="str">
        <f>IF($I326=1,SUM($I$2:I326),"")</f>
        <v/>
      </c>
      <c r="K326">
        <f t="shared" si="31"/>
        <v>0</v>
      </c>
      <c r="L326">
        <f>IF(AND($K326=1,'All Data'!$D326&lt;&gt;"",COUNTIFS($K$2:K325,1,'All Data'!$D$2:$D325,'All Data'!$D326)=0),1,0)</f>
        <v>0</v>
      </c>
      <c r="M326" t="str">
        <f>IF($L326=1,SUM($L$2:L326),"")</f>
        <v/>
      </c>
      <c r="N326">
        <f t="shared" si="32"/>
        <v>0</v>
      </c>
      <c r="O326">
        <f>IF(AND($N326=1,'All Data'!$E326&lt;&gt;"",COUNTIFS($N$2:N325,1,'All Data'!$E$2:$E325,'All Data'!$E326)=0),1,0)</f>
        <v>0</v>
      </c>
      <c r="P326" t="str">
        <f>IF($O326=1,SUM($O$2:O326),"")</f>
        <v/>
      </c>
      <c r="Q326">
        <f t="shared" si="33"/>
        <v>0</v>
      </c>
      <c r="R326">
        <f>IF(AND($Q326=1,'All Data'!$F326&lt;&gt;"",COUNTIFS($Q$2:Q325,1,'All Data'!$F$2:$F325,'All Data'!$F326)=0),1,0)</f>
        <v>0</v>
      </c>
      <c r="S326" t="str">
        <f>IF($R326=1,SUM($R$2:R326),"")</f>
        <v/>
      </c>
      <c r="T326">
        <f t="shared" si="34"/>
        <v>0</v>
      </c>
      <c r="U326">
        <f>IF(AND($T326=1,'All Data'!$G326&lt;&gt;"",COUNTIFS($T$2:T325,1,'All Data'!$G$2:$G325,'All Data'!$G326)=0),1,0)</f>
        <v>0</v>
      </c>
      <c r="V326" t="str">
        <f>IF($U326=1,SUM($U$2:U326),"")</f>
        <v/>
      </c>
      <c r="W326">
        <f t="shared" si="35"/>
        <v>0</v>
      </c>
      <c r="X326" t="str">
        <f>IF($W326=1,SUM($W$2:W326),"")</f>
        <v/>
      </c>
    </row>
    <row r="327" spans="1:24" x14ac:dyDescent="0.3">
      <c r="A327">
        <f>IF(OR($BA1="Any",$BA1=""),1,IF('All Data'!$B327=$BA1,1,0))</f>
        <v>0</v>
      </c>
      <c r="B327">
        <f>IF(OR($BA2="Any",$BA2=""),1,IF('All Data'!$C327=$BA2,1,0))</f>
        <v>1</v>
      </c>
      <c r="C327">
        <f>IF(OR($BA3="Any",$BA3=""),1,IF('All Data'!$D327=$BA3,1,0))</f>
        <v>1</v>
      </c>
      <c r="D327">
        <f>IF(OR($BA4="Any",$BA4=""),1,IF('All Data'!$E327=$BA4,1,0))</f>
        <v>1</v>
      </c>
      <c r="E327">
        <f>IF(OR($BA5="Any",$BA5=""),1,IF('All Data'!$F327=$BA5,1,0))</f>
        <v>1</v>
      </c>
      <c r="F327">
        <f>IF(OR($BA6="Any",$BA6=""),1,IF('All Data'!$G327=$BA6,1,0))</f>
        <v>0</v>
      </c>
      <c r="G327">
        <f>IF(AND(OR($BA$8="",ISNUMBER(SEARCH($BA$8,'All Data'!$K327&amp;" "&amp;'All Data'!$M327))),OR($BA$9="",ISNUMBER(SEARCH($BA$9,'All Data'!$K327&amp;" "&amp;'All Data'!$M327))),OR($BA$10="",ISNUMBER(SEARCH($BA$10,'All Data'!$K327&amp;" "&amp;'All Data'!$M327))),OR($BA$11="",ISNUMBER(SEARCH($BA$11,'All Data'!$K327&amp;" "&amp;'All Data'!$M327))),OR($BA$12="",ISNUMBER(SEARCH($BA$12,'All Data'!$K327&amp;" "&amp;'All Data'!$M327))),OR($BA$13="",ISNUMBER(SEARCH($BA$13,'All Data'!$K327&amp;" "&amp;'All Data'!$M327))),OR($BA$14="",ISNUMBER(SEARCH($BA$14,'All Data'!$K327&amp;" "&amp;'All Data'!$M327))),OR($BA$15="",ISNUMBER(SEARCH($BA$15,'All Data'!$K327&amp;" "&amp;'All Data'!$M327)))),1,0)</f>
        <v>1</v>
      </c>
      <c r="H327">
        <f t="shared" si="30"/>
        <v>0</v>
      </c>
      <c r="I327">
        <f>IF(AND($H327=1,'All Data'!$C327&lt;&gt;"",COUNTIFS($H$2:H326,1,'All Data'!$C$2:$C326,'All Data'!$C327)=0),1,0)</f>
        <v>0</v>
      </c>
      <c r="J327" t="str">
        <f>IF($I327=1,SUM($I$2:I327),"")</f>
        <v/>
      </c>
      <c r="K327">
        <f t="shared" si="31"/>
        <v>0</v>
      </c>
      <c r="L327">
        <f>IF(AND($K327=1,'All Data'!$D327&lt;&gt;"",COUNTIFS($K$2:K326,1,'All Data'!$D$2:$D326,'All Data'!$D327)=0),1,0)</f>
        <v>0</v>
      </c>
      <c r="M327" t="str">
        <f>IF($L327=1,SUM($L$2:L327),"")</f>
        <v/>
      </c>
      <c r="N327">
        <f t="shared" si="32"/>
        <v>0</v>
      </c>
      <c r="O327">
        <f>IF(AND($N327=1,'All Data'!$E327&lt;&gt;"",COUNTIFS($N$2:N326,1,'All Data'!$E$2:$E326,'All Data'!$E327)=0),1,0)</f>
        <v>0</v>
      </c>
      <c r="P327" t="str">
        <f>IF($O327=1,SUM($O$2:O327),"")</f>
        <v/>
      </c>
      <c r="Q327">
        <f t="shared" si="33"/>
        <v>0</v>
      </c>
      <c r="R327">
        <f>IF(AND($Q327=1,'All Data'!$F327&lt;&gt;"",COUNTIFS($Q$2:Q326,1,'All Data'!$F$2:$F326,'All Data'!$F327)=0),1,0)</f>
        <v>0</v>
      </c>
      <c r="S327" t="str">
        <f>IF($R327=1,SUM($R$2:R327),"")</f>
        <v/>
      </c>
      <c r="T327">
        <f t="shared" si="34"/>
        <v>0</v>
      </c>
      <c r="U327">
        <f>IF(AND($T327=1,'All Data'!$G327&lt;&gt;"",COUNTIFS($T$2:T326,1,'All Data'!$G$2:$G326,'All Data'!$G327)=0),1,0)</f>
        <v>0</v>
      </c>
      <c r="V327" t="str">
        <f>IF($U327=1,SUM($U$2:U327),"")</f>
        <v/>
      </c>
      <c r="W327">
        <f t="shared" si="35"/>
        <v>0</v>
      </c>
      <c r="X327" t="str">
        <f>IF($W327=1,SUM($W$2:W327),"")</f>
        <v/>
      </c>
    </row>
    <row r="328" spans="1:24" x14ac:dyDescent="0.3">
      <c r="A328">
        <f>IF(OR($BA1="Any",$BA1=""),1,IF('All Data'!$B328=$BA1,1,0))</f>
        <v>0</v>
      </c>
      <c r="B328">
        <f>IF(OR($BA2="Any",$BA2=""),1,IF('All Data'!$C328=$BA2,1,0))</f>
        <v>1</v>
      </c>
      <c r="C328">
        <f>IF(OR($BA3="Any",$BA3=""),1,IF('All Data'!$D328=$BA3,1,0))</f>
        <v>1</v>
      </c>
      <c r="D328">
        <f>IF(OR($BA4="Any",$BA4=""),1,IF('All Data'!$E328=$BA4,1,0))</f>
        <v>1</v>
      </c>
      <c r="E328">
        <f>IF(OR($BA5="Any",$BA5=""),1,IF('All Data'!$F328=$BA5,1,0))</f>
        <v>1</v>
      </c>
      <c r="F328">
        <f>IF(OR($BA6="Any",$BA6=""),1,IF('All Data'!$G328=$BA6,1,0))</f>
        <v>0</v>
      </c>
      <c r="G328">
        <f>IF(AND(OR($BA$8="",ISNUMBER(SEARCH($BA$8,'All Data'!$K328&amp;" "&amp;'All Data'!$M328))),OR($BA$9="",ISNUMBER(SEARCH($BA$9,'All Data'!$K328&amp;" "&amp;'All Data'!$M328))),OR($BA$10="",ISNUMBER(SEARCH($BA$10,'All Data'!$K328&amp;" "&amp;'All Data'!$M328))),OR($BA$11="",ISNUMBER(SEARCH($BA$11,'All Data'!$K328&amp;" "&amp;'All Data'!$M328))),OR($BA$12="",ISNUMBER(SEARCH($BA$12,'All Data'!$K328&amp;" "&amp;'All Data'!$M328))),OR($BA$13="",ISNUMBER(SEARCH($BA$13,'All Data'!$K328&amp;" "&amp;'All Data'!$M328))),OR($BA$14="",ISNUMBER(SEARCH($BA$14,'All Data'!$K328&amp;" "&amp;'All Data'!$M328))),OR($BA$15="",ISNUMBER(SEARCH($BA$15,'All Data'!$K328&amp;" "&amp;'All Data'!$M328)))),1,0)</f>
        <v>1</v>
      </c>
      <c r="H328">
        <f t="shared" si="30"/>
        <v>0</v>
      </c>
      <c r="I328">
        <f>IF(AND($H328=1,'All Data'!$C328&lt;&gt;"",COUNTIFS($H$2:H327,1,'All Data'!$C$2:$C327,'All Data'!$C328)=0),1,0)</f>
        <v>0</v>
      </c>
      <c r="J328" t="str">
        <f>IF($I328=1,SUM($I$2:I328),"")</f>
        <v/>
      </c>
      <c r="K328">
        <f t="shared" si="31"/>
        <v>0</v>
      </c>
      <c r="L328">
        <f>IF(AND($K328=1,'All Data'!$D328&lt;&gt;"",COUNTIFS($K$2:K327,1,'All Data'!$D$2:$D327,'All Data'!$D328)=0),1,0)</f>
        <v>0</v>
      </c>
      <c r="M328" t="str">
        <f>IF($L328=1,SUM($L$2:L328),"")</f>
        <v/>
      </c>
      <c r="N328">
        <f t="shared" si="32"/>
        <v>0</v>
      </c>
      <c r="O328">
        <f>IF(AND($N328=1,'All Data'!$E328&lt;&gt;"",COUNTIFS($N$2:N327,1,'All Data'!$E$2:$E327,'All Data'!$E328)=0),1,0)</f>
        <v>0</v>
      </c>
      <c r="P328" t="str">
        <f>IF($O328=1,SUM($O$2:O328),"")</f>
        <v/>
      </c>
      <c r="Q328">
        <f t="shared" si="33"/>
        <v>0</v>
      </c>
      <c r="R328">
        <f>IF(AND($Q328=1,'All Data'!$F328&lt;&gt;"",COUNTIFS($Q$2:Q327,1,'All Data'!$F$2:$F327,'All Data'!$F328)=0),1,0)</f>
        <v>0</v>
      </c>
      <c r="S328" t="str">
        <f>IF($R328=1,SUM($R$2:R328),"")</f>
        <v/>
      </c>
      <c r="T328">
        <f t="shared" si="34"/>
        <v>0</v>
      </c>
      <c r="U328">
        <f>IF(AND($T328=1,'All Data'!$G328&lt;&gt;"",COUNTIFS($T$2:T327,1,'All Data'!$G$2:$G327,'All Data'!$G328)=0),1,0)</f>
        <v>0</v>
      </c>
      <c r="V328" t="str">
        <f>IF($U328=1,SUM($U$2:U328),"")</f>
        <v/>
      </c>
      <c r="W328">
        <f t="shared" si="35"/>
        <v>0</v>
      </c>
      <c r="X328" t="str">
        <f>IF($W328=1,SUM($W$2:W328),"")</f>
        <v/>
      </c>
    </row>
    <row r="329" spans="1:24" x14ac:dyDescent="0.3">
      <c r="A329">
        <f>IF(OR($BA1="Any",$BA1=""),1,IF('All Data'!$B329=$BA1,1,0))</f>
        <v>0</v>
      </c>
      <c r="B329">
        <f>IF(OR($BA2="Any",$BA2=""),1,IF('All Data'!$C329=$BA2,1,0))</f>
        <v>1</v>
      </c>
      <c r="C329">
        <f>IF(OR($BA3="Any",$BA3=""),1,IF('All Data'!$D329=$BA3,1,0))</f>
        <v>1</v>
      </c>
      <c r="D329">
        <f>IF(OR($BA4="Any",$BA4=""),1,IF('All Data'!$E329=$BA4,1,0))</f>
        <v>1</v>
      </c>
      <c r="E329">
        <f>IF(OR($BA5="Any",$BA5=""),1,IF('All Data'!$F329=$BA5,1,0))</f>
        <v>1</v>
      </c>
      <c r="F329">
        <f>IF(OR($BA6="Any",$BA6=""),1,IF('All Data'!$G329=$BA6,1,0))</f>
        <v>0</v>
      </c>
      <c r="G329">
        <f>IF(AND(OR($BA$8="",ISNUMBER(SEARCH($BA$8,'All Data'!$K329&amp;" "&amp;'All Data'!$M329))),OR($BA$9="",ISNUMBER(SEARCH($BA$9,'All Data'!$K329&amp;" "&amp;'All Data'!$M329))),OR($BA$10="",ISNUMBER(SEARCH($BA$10,'All Data'!$K329&amp;" "&amp;'All Data'!$M329))),OR($BA$11="",ISNUMBER(SEARCH($BA$11,'All Data'!$K329&amp;" "&amp;'All Data'!$M329))),OR($BA$12="",ISNUMBER(SEARCH($BA$12,'All Data'!$K329&amp;" "&amp;'All Data'!$M329))),OR($BA$13="",ISNUMBER(SEARCH($BA$13,'All Data'!$K329&amp;" "&amp;'All Data'!$M329))),OR($BA$14="",ISNUMBER(SEARCH($BA$14,'All Data'!$K329&amp;" "&amp;'All Data'!$M329))),OR($BA$15="",ISNUMBER(SEARCH($BA$15,'All Data'!$K329&amp;" "&amp;'All Data'!$M329)))),1,0)</f>
        <v>1</v>
      </c>
      <c r="H329">
        <f t="shared" si="30"/>
        <v>0</v>
      </c>
      <c r="I329">
        <f>IF(AND($H329=1,'All Data'!$C329&lt;&gt;"",COUNTIFS($H$2:H328,1,'All Data'!$C$2:$C328,'All Data'!$C329)=0),1,0)</f>
        <v>0</v>
      </c>
      <c r="J329" t="str">
        <f>IF($I329=1,SUM($I$2:I329),"")</f>
        <v/>
      </c>
      <c r="K329">
        <f t="shared" si="31"/>
        <v>0</v>
      </c>
      <c r="L329">
        <f>IF(AND($K329=1,'All Data'!$D329&lt;&gt;"",COUNTIFS($K$2:K328,1,'All Data'!$D$2:$D328,'All Data'!$D329)=0),1,0)</f>
        <v>0</v>
      </c>
      <c r="M329" t="str">
        <f>IF($L329=1,SUM($L$2:L329),"")</f>
        <v/>
      </c>
      <c r="N329">
        <f t="shared" si="32"/>
        <v>0</v>
      </c>
      <c r="O329">
        <f>IF(AND($N329=1,'All Data'!$E329&lt;&gt;"",COUNTIFS($N$2:N328,1,'All Data'!$E$2:$E328,'All Data'!$E329)=0),1,0)</f>
        <v>0</v>
      </c>
      <c r="P329" t="str">
        <f>IF($O329=1,SUM($O$2:O329),"")</f>
        <v/>
      </c>
      <c r="Q329">
        <f t="shared" si="33"/>
        <v>0</v>
      </c>
      <c r="R329">
        <f>IF(AND($Q329=1,'All Data'!$F329&lt;&gt;"",COUNTIFS($Q$2:Q328,1,'All Data'!$F$2:$F328,'All Data'!$F329)=0),1,0)</f>
        <v>0</v>
      </c>
      <c r="S329" t="str">
        <f>IF($R329=1,SUM($R$2:R329),"")</f>
        <v/>
      </c>
      <c r="T329">
        <f t="shared" si="34"/>
        <v>0</v>
      </c>
      <c r="U329">
        <f>IF(AND($T329=1,'All Data'!$G329&lt;&gt;"",COUNTIFS($T$2:T328,1,'All Data'!$G$2:$G328,'All Data'!$G329)=0),1,0)</f>
        <v>0</v>
      </c>
      <c r="V329" t="str">
        <f>IF($U329=1,SUM($U$2:U329),"")</f>
        <v/>
      </c>
      <c r="W329">
        <f t="shared" si="35"/>
        <v>0</v>
      </c>
      <c r="X329" t="str">
        <f>IF($W329=1,SUM($W$2:W329),"")</f>
        <v/>
      </c>
    </row>
    <row r="330" spans="1:24" x14ac:dyDescent="0.3">
      <c r="A330">
        <f>IF(OR($BA1="Any",$BA1=""),1,IF('All Data'!$B330=$BA1,1,0))</f>
        <v>0</v>
      </c>
      <c r="B330">
        <f>IF(OR($BA2="Any",$BA2=""),1,IF('All Data'!$C330=$BA2,1,0))</f>
        <v>1</v>
      </c>
      <c r="C330">
        <f>IF(OR($BA3="Any",$BA3=""),1,IF('All Data'!$D330=$BA3,1,0))</f>
        <v>1</v>
      </c>
      <c r="D330">
        <f>IF(OR($BA4="Any",$BA4=""),1,IF('All Data'!$E330=$BA4,1,0))</f>
        <v>1</v>
      </c>
      <c r="E330">
        <f>IF(OR($BA5="Any",$BA5=""),1,IF('All Data'!$F330=$BA5,1,0))</f>
        <v>1</v>
      </c>
      <c r="F330">
        <f>IF(OR($BA6="Any",$BA6=""),1,IF('All Data'!$G330=$BA6,1,0))</f>
        <v>0</v>
      </c>
      <c r="G330">
        <f>IF(AND(OR($BA$8="",ISNUMBER(SEARCH($BA$8,'All Data'!$K330&amp;" "&amp;'All Data'!$M330))),OR($BA$9="",ISNUMBER(SEARCH($BA$9,'All Data'!$K330&amp;" "&amp;'All Data'!$M330))),OR($BA$10="",ISNUMBER(SEARCH($BA$10,'All Data'!$K330&amp;" "&amp;'All Data'!$M330))),OR($BA$11="",ISNUMBER(SEARCH($BA$11,'All Data'!$K330&amp;" "&amp;'All Data'!$M330))),OR($BA$12="",ISNUMBER(SEARCH($BA$12,'All Data'!$K330&amp;" "&amp;'All Data'!$M330))),OR($BA$13="",ISNUMBER(SEARCH($BA$13,'All Data'!$K330&amp;" "&amp;'All Data'!$M330))),OR($BA$14="",ISNUMBER(SEARCH($BA$14,'All Data'!$K330&amp;" "&amp;'All Data'!$M330))),OR($BA$15="",ISNUMBER(SEARCH($BA$15,'All Data'!$K330&amp;" "&amp;'All Data'!$M330)))),1,0)</f>
        <v>1</v>
      </c>
      <c r="H330">
        <f t="shared" si="30"/>
        <v>0</v>
      </c>
      <c r="I330">
        <f>IF(AND($H330=1,'All Data'!$C330&lt;&gt;"",COUNTIFS($H$2:H329,1,'All Data'!$C$2:$C329,'All Data'!$C330)=0),1,0)</f>
        <v>0</v>
      </c>
      <c r="J330" t="str">
        <f>IF($I330=1,SUM($I$2:I330),"")</f>
        <v/>
      </c>
      <c r="K330">
        <f t="shared" si="31"/>
        <v>0</v>
      </c>
      <c r="L330">
        <f>IF(AND($K330=1,'All Data'!$D330&lt;&gt;"",COUNTIFS($K$2:K329,1,'All Data'!$D$2:$D329,'All Data'!$D330)=0),1,0)</f>
        <v>0</v>
      </c>
      <c r="M330" t="str">
        <f>IF($L330=1,SUM($L$2:L330),"")</f>
        <v/>
      </c>
      <c r="N330">
        <f t="shared" si="32"/>
        <v>0</v>
      </c>
      <c r="O330">
        <f>IF(AND($N330=1,'All Data'!$E330&lt;&gt;"",COUNTIFS($N$2:N329,1,'All Data'!$E$2:$E329,'All Data'!$E330)=0),1,0)</f>
        <v>0</v>
      </c>
      <c r="P330" t="str">
        <f>IF($O330=1,SUM($O$2:O330),"")</f>
        <v/>
      </c>
      <c r="Q330">
        <f t="shared" si="33"/>
        <v>0</v>
      </c>
      <c r="R330">
        <f>IF(AND($Q330=1,'All Data'!$F330&lt;&gt;"",COUNTIFS($Q$2:Q329,1,'All Data'!$F$2:$F329,'All Data'!$F330)=0),1,0)</f>
        <v>0</v>
      </c>
      <c r="S330" t="str">
        <f>IF($R330=1,SUM($R$2:R330),"")</f>
        <v/>
      </c>
      <c r="T330">
        <f t="shared" si="34"/>
        <v>0</v>
      </c>
      <c r="U330">
        <f>IF(AND($T330=1,'All Data'!$G330&lt;&gt;"",COUNTIFS($T$2:T329,1,'All Data'!$G$2:$G329,'All Data'!$G330)=0),1,0)</f>
        <v>0</v>
      </c>
      <c r="V330" t="str">
        <f>IF($U330=1,SUM($U$2:U330),"")</f>
        <v/>
      </c>
      <c r="W330">
        <f t="shared" si="35"/>
        <v>0</v>
      </c>
      <c r="X330" t="str">
        <f>IF($W330=1,SUM($W$2:W330),"")</f>
        <v/>
      </c>
    </row>
    <row r="331" spans="1:24" x14ac:dyDescent="0.3">
      <c r="A331">
        <f>IF(OR($BA1="Any",$BA1=""),1,IF('All Data'!$B331=$BA1,1,0))</f>
        <v>0</v>
      </c>
      <c r="B331">
        <f>IF(OR($BA2="Any",$BA2=""),1,IF('All Data'!$C331=$BA2,1,0))</f>
        <v>1</v>
      </c>
      <c r="C331">
        <f>IF(OR($BA3="Any",$BA3=""),1,IF('All Data'!$D331=$BA3,1,0))</f>
        <v>1</v>
      </c>
      <c r="D331">
        <f>IF(OR($BA4="Any",$BA4=""),1,IF('All Data'!$E331=$BA4,1,0))</f>
        <v>1</v>
      </c>
      <c r="E331">
        <f>IF(OR($BA5="Any",$BA5=""),1,IF('All Data'!$F331=$BA5,1,0))</f>
        <v>1</v>
      </c>
      <c r="F331">
        <f>IF(OR($BA6="Any",$BA6=""),1,IF('All Data'!$G331=$BA6,1,0))</f>
        <v>0</v>
      </c>
      <c r="G331">
        <f>IF(AND(OR($BA$8="",ISNUMBER(SEARCH($BA$8,'All Data'!$K331&amp;" "&amp;'All Data'!$M331))),OR($BA$9="",ISNUMBER(SEARCH($BA$9,'All Data'!$K331&amp;" "&amp;'All Data'!$M331))),OR($BA$10="",ISNUMBER(SEARCH($BA$10,'All Data'!$K331&amp;" "&amp;'All Data'!$M331))),OR($BA$11="",ISNUMBER(SEARCH($BA$11,'All Data'!$K331&amp;" "&amp;'All Data'!$M331))),OR($BA$12="",ISNUMBER(SEARCH($BA$12,'All Data'!$K331&amp;" "&amp;'All Data'!$M331))),OR($BA$13="",ISNUMBER(SEARCH($BA$13,'All Data'!$K331&amp;" "&amp;'All Data'!$M331))),OR($BA$14="",ISNUMBER(SEARCH($BA$14,'All Data'!$K331&amp;" "&amp;'All Data'!$M331))),OR($BA$15="",ISNUMBER(SEARCH($BA$15,'All Data'!$K331&amp;" "&amp;'All Data'!$M331)))),1,0)</f>
        <v>1</v>
      </c>
      <c r="H331">
        <f t="shared" si="30"/>
        <v>0</v>
      </c>
      <c r="I331">
        <f>IF(AND($H331=1,'All Data'!$C331&lt;&gt;"",COUNTIFS($H$2:H330,1,'All Data'!$C$2:$C330,'All Data'!$C331)=0),1,0)</f>
        <v>0</v>
      </c>
      <c r="J331" t="str">
        <f>IF($I331=1,SUM($I$2:I331),"")</f>
        <v/>
      </c>
      <c r="K331">
        <f t="shared" si="31"/>
        <v>0</v>
      </c>
      <c r="L331">
        <f>IF(AND($K331=1,'All Data'!$D331&lt;&gt;"",COUNTIFS($K$2:K330,1,'All Data'!$D$2:$D330,'All Data'!$D331)=0),1,0)</f>
        <v>0</v>
      </c>
      <c r="M331" t="str">
        <f>IF($L331=1,SUM($L$2:L331),"")</f>
        <v/>
      </c>
      <c r="N331">
        <f t="shared" si="32"/>
        <v>0</v>
      </c>
      <c r="O331">
        <f>IF(AND($N331=1,'All Data'!$E331&lt;&gt;"",COUNTIFS($N$2:N330,1,'All Data'!$E$2:$E330,'All Data'!$E331)=0),1,0)</f>
        <v>0</v>
      </c>
      <c r="P331" t="str">
        <f>IF($O331=1,SUM($O$2:O331),"")</f>
        <v/>
      </c>
      <c r="Q331">
        <f t="shared" si="33"/>
        <v>0</v>
      </c>
      <c r="R331">
        <f>IF(AND($Q331=1,'All Data'!$F331&lt;&gt;"",COUNTIFS($Q$2:Q330,1,'All Data'!$F$2:$F330,'All Data'!$F331)=0),1,0)</f>
        <v>0</v>
      </c>
      <c r="S331" t="str">
        <f>IF($R331=1,SUM($R$2:R331),"")</f>
        <v/>
      </c>
      <c r="T331">
        <f t="shared" si="34"/>
        <v>0</v>
      </c>
      <c r="U331">
        <f>IF(AND($T331=1,'All Data'!$G331&lt;&gt;"",COUNTIFS($T$2:T330,1,'All Data'!$G$2:$G330,'All Data'!$G331)=0),1,0)</f>
        <v>0</v>
      </c>
      <c r="V331" t="str">
        <f>IF($U331=1,SUM($U$2:U331),"")</f>
        <v/>
      </c>
      <c r="W331">
        <f t="shared" si="35"/>
        <v>0</v>
      </c>
      <c r="X331" t="str">
        <f>IF($W331=1,SUM($W$2:W331),"")</f>
        <v/>
      </c>
    </row>
    <row r="332" spans="1:24" x14ac:dyDescent="0.3">
      <c r="A332">
        <f>IF(OR($BA1="Any",$BA1=""),1,IF('All Data'!$B332=$BA1,1,0))</f>
        <v>0</v>
      </c>
      <c r="B332">
        <f>IF(OR($BA2="Any",$BA2=""),1,IF('All Data'!$C332=$BA2,1,0))</f>
        <v>1</v>
      </c>
      <c r="C332">
        <f>IF(OR($BA3="Any",$BA3=""),1,IF('All Data'!$D332=$BA3,1,0))</f>
        <v>1</v>
      </c>
      <c r="D332">
        <f>IF(OR($BA4="Any",$BA4=""),1,IF('All Data'!$E332=$BA4,1,0))</f>
        <v>1</v>
      </c>
      <c r="E332">
        <f>IF(OR($BA5="Any",$BA5=""),1,IF('All Data'!$F332=$BA5,1,0))</f>
        <v>1</v>
      </c>
      <c r="F332">
        <f>IF(OR($BA6="Any",$BA6=""),1,IF('All Data'!$G332=$BA6,1,0))</f>
        <v>0</v>
      </c>
      <c r="G332">
        <f>IF(AND(OR($BA$8="",ISNUMBER(SEARCH($BA$8,'All Data'!$K332&amp;" "&amp;'All Data'!$M332))),OR($BA$9="",ISNUMBER(SEARCH($BA$9,'All Data'!$K332&amp;" "&amp;'All Data'!$M332))),OR($BA$10="",ISNUMBER(SEARCH($BA$10,'All Data'!$K332&amp;" "&amp;'All Data'!$M332))),OR($BA$11="",ISNUMBER(SEARCH($BA$11,'All Data'!$K332&amp;" "&amp;'All Data'!$M332))),OR($BA$12="",ISNUMBER(SEARCH($BA$12,'All Data'!$K332&amp;" "&amp;'All Data'!$M332))),OR($BA$13="",ISNUMBER(SEARCH($BA$13,'All Data'!$K332&amp;" "&amp;'All Data'!$M332))),OR($BA$14="",ISNUMBER(SEARCH($BA$14,'All Data'!$K332&amp;" "&amp;'All Data'!$M332))),OR($BA$15="",ISNUMBER(SEARCH($BA$15,'All Data'!$K332&amp;" "&amp;'All Data'!$M332)))),1,0)</f>
        <v>1</v>
      </c>
      <c r="H332">
        <f t="shared" si="30"/>
        <v>0</v>
      </c>
      <c r="I332">
        <f>IF(AND($H332=1,'All Data'!$C332&lt;&gt;"",COUNTIFS($H$2:H331,1,'All Data'!$C$2:$C331,'All Data'!$C332)=0),1,0)</f>
        <v>0</v>
      </c>
      <c r="J332" t="str">
        <f>IF($I332=1,SUM($I$2:I332),"")</f>
        <v/>
      </c>
      <c r="K332">
        <f t="shared" si="31"/>
        <v>0</v>
      </c>
      <c r="L332">
        <f>IF(AND($K332=1,'All Data'!$D332&lt;&gt;"",COUNTIFS($K$2:K331,1,'All Data'!$D$2:$D331,'All Data'!$D332)=0),1,0)</f>
        <v>0</v>
      </c>
      <c r="M332" t="str">
        <f>IF($L332=1,SUM($L$2:L332),"")</f>
        <v/>
      </c>
      <c r="N332">
        <f t="shared" si="32"/>
        <v>0</v>
      </c>
      <c r="O332">
        <f>IF(AND($N332=1,'All Data'!$E332&lt;&gt;"",COUNTIFS($N$2:N331,1,'All Data'!$E$2:$E331,'All Data'!$E332)=0),1,0)</f>
        <v>0</v>
      </c>
      <c r="P332" t="str">
        <f>IF($O332=1,SUM($O$2:O332),"")</f>
        <v/>
      </c>
      <c r="Q332">
        <f t="shared" si="33"/>
        <v>0</v>
      </c>
      <c r="R332">
        <f>IF(AND($Q332=1,'All Data'!$F332&lt;&gt;"",COUNTIFS($Q$2:Q331,1,'All Data'!$F$2:$F331,'All Data'!$F332)=0),1,0)</f>
        <v>0</v>
      </c>
      <c r="S332" t="str">
        <f>IF($R332=1,SUM($R$2:R332),"")</f>
        <v/>
      </c>
      <c r="T332">
        <f t="shared" si="34"/>
        <v>0</v>
      </c>
      <c r="U332">
        <f>IF(AND($T332=1,'All Data'!$G332&lt;&gt;"",COUNTIFS($T$2:T331,1,'All Data'!$G$2:$G331,'All Data'!$G332)=0),1,0)</f>
        <v>0</v>
      </c>
      <c r="V332" t="str">
        <f>IF($U332=1,SUM($U$2:U332),"")</f>
        <v/>
      </c>
      <c r="W332">
        <f t="shared" si="35"/>
        <v>0</v>
      </c>
      <c r="X332" t="str">
        <f>IF($W332=1,SUM($W$2:W332),"")</f>
        <v/>
      </c>
    </row>
    <row r="333" spans="1:24" x14ac:dyDescent="0.3">
      <c r="A333">
        <f>IF(OR($BA1="Any",$BA1=""),1,IF('All Data'!$B333=$BA1,1,0))</f>
        <v>0</v>
      </c>
      <c r="B333">
        <f>IF(OR($BA2="Any",$BA2=""),1,IF('All Data'!$C333=$BA2,1,0))</f>
        <v>1</v>
      </c>
      <c r="C333">
        <f>IF(OR($BA3="Any",$BA3=""),1,IF('All Data'!$D333=$BA3,1,0))</f>
        <v>1</v>
      </c>
      <c r="D333">
        <f>IF(OR($BA4="Any",$BA4=""),1,IF('All Data'!$E333=$BA4,1,0))</f>
        <v>1</v>
      </c>
      <c r="E333">
        <f>IF(OR($BA5="Any",$BA5=""),1,IF('All Data'!$F333=$BA5,1,0))</f>
        <v>1</v>
      </c>
      <c r="F333">
        <f>IF(OR($BA6="Any",$BA6=""),1,IF('All Data'!$G333=$BA6,1,0))</f>
        <v>0</v>
      </c>
      <c r="G333">
        <f>IF(AND(OR($BA$8="",ISNUMBER(SEARCH($BA$8,'All Data'!$K333&amp;" "&amp;'All Data'!$M333))),OR($BA$9="",ISNUMBER(SEARCH($BA$9,'All Data'!$K333&amp;" "&amp;'All Data'!$M333))),OR($BA$10="",ISNUMBER(SEARCH($BA$10,'All Data'!$K333&amp;" "&amp;'All Data'!$M333))),OR($BA$11="",ISNUMBER(SEARCH($BA$11,'All Data'!$K333&amp;" "&amp;'All Data'!$M333))),OR($BA$12="",ISNUMBER(SEARCH($BA$12,'All Data'!$K333&amp;" "&amp;'All Data'!$M333))),OR($BA$13="",ISNUMBER(SEARCH($BA$13,'All Data'!$K333&amp;" "&amp;'All Data'!$M333))),OR($BA$14="",ISNUMBER(SEARCH($BA$14,'All Data'!$K333&amp;" "&amp;'All Data'!$M333))),OR($BA$15="",ISNUMBER(SEARCH($BA$15,'All Data'!$K333&amp;" "&amp;'All Data'!$M333)))),1,0)</f>
        <v>1</v>
      </c>
      <c r="H333">
        <f t="shared" si="30"/>
        <v>0</v>
      </c>
      <c r="I333">
        <f>IF(AND($H333=1,'All Data'!$C333&lt;&gt;"",COUNTIFS($H$2:H332,1,'All Data'!$C$2:$C332,'All Data'!$C333)=0),1,0)</f>
        <v>0</v>
      </c>
      <c r="J333" t="str">
        <f>IF($I333=1,SUM($I$2:I333),"")</f>
        <v/>
      </c>
      <c r="K333">
        <f t="shared" si="31"/>
        <v>0</v>
      </c>
      <c r="L333">
        <f>IF(AND($K333=1,'All Data'!$D333&lt;&gt;"",COUNTIFS($K$2:K332,1,'All Data'!$D$2:$D332,'All Data'!$D333)=0),1,0)</f>
        <v>0</v>
      </c>
      <c r="M333" t="str">
        <f>IF($L333=1,SUM($L$2:L333),"")</f>
        <v/>
      </c>
      <c r="N333">
        <f t="shared" si="32"/>
        <v>0</v>
      </c>
      <c r="O333">
        <f>IF(AND($N333=1,'All Data'!$E333&lt;&gt;"",COUNTIFS($N$2:N332,1,'All Data'!$E$2:$E332,'All Data'!$E333)=0),1,0)</f>
        <v>0</v>
      </c>
      <c r="P333" t="str">
        <f>IF($O333=1,SUM($O$2:O333),"")</f>
        <v/>
      </c>
      <c r="Q333">
        <f t="shared" si="33"/>
        <v>0</v>
      </c>
      <c r="R333">
        <f>IF(AND($Q333=1,'All Data'!$F333&lt;&gt;"",COUNTIFS($Q$2:Q332,1,'All Data'!$F$2:$F332,'All Data'!$F333)=0),1,0)</f>
        <v>0</v>
      </c>
      <c r="S333" t="str">
        <f>IF($R333=1,SUM($R$2:R333),"")</f>
        <v/>
      </c>
      <c r="T333">
        <f t="shared" si="34"/>
        <v>0</v>
      </c>
      <c r="U333">
        <f>IF(AND($T333=1,'All Data'!$G333&lt;&gt;"",COUNTIFS($T$2:T332,1,'All Data'!$G$2:$G332,'All Data'!$G333)=0),1,0)</f>
        <v>0</v>
      </c>
      <c r="V333" t="str">
        <f>IF($U333=1,SUM($U$2:U333),"")</f>
        <v/>
      </c>
      <c r="W333">
        <f t="shared" si="35"/>
        <v>0</v>
      </c>
      <c r="X333" t="str">
        <f>IF($W333=1,SUM($W$2:W333),"")</f>
        <v/>
      </c>
    </row>
    <row r="334" spans="1:24" x14ac:dyDescent="0.3">
      <c r="A334">
        <f>IF(OR($BA1="Any",$BA1=""),1,IF('All Data'!$B334=$BA1,1,0))</f>
        <v>0</v>
      </c>
      <c r="B334">
        <f>IF(OR($BA2="Any",$BA2=""),1,IF('All Data'!$C334=$BA2,1,0))</f>
        <v>1</v>
      </c>
      <c r="C334">
        <f>IF(OR($BA3="Any",$BA3=""),1,IF('All Data'!$D334=$BA3,1,0))</f>
        <v>1</v>
      </c>
      <c r="D334">
        <f>IF(OR($BA4="Any",$BA4=""),1,IF('All Data'!$E334=$BA4,1,0))</f>
        <v>1</v>
      </c>
      <c r="E334">
        <f>IF(OR($BA5="Any",$BA5=""),1,IF('All Data'!$F334=$BA5,1,0))</f>
        <v>1</v>
      </c>
      <c r="F334">
        <f>IF(OR($BA6="Any",$BA6=""),1,IF('All Data'!$G334=$BA6,1,0))</f>
        <v>0</v>
      </c>
      <c r="G334">
        <f>IF(AND(OR($BA$8="",ISNUMBER(SEARCH($BA$8,'All Data'!$K334&amp;" "&amp;'All Data'!$M334))),OR($BA$9="",ISNUMBER(SEARCH($BA$9,'All Data'!$K334&amp;" "&amp;'All Data'!$M334))),OR($BA$10="",ISNUMBER(SEARCH($BA$10,'All Data'!$K334&amp;" "&amp;'All Data'!$M334))),OR($BA$11="",ISNUMBER(SEARCH($BA$11,'All Data'!$K334&amp;" "&amp;'All Data'!$M334))),OR($BA$12="",ISNUMBER(SEARCH($BA$12,'All Data'!$K334&amp;" "&amp;'All Data'!$M334))),OR($BA$13="",ISNUMBER(SEARCH($BA$13,'All Data'!$K334&amp;" "&amp;'All Data'!$M334))),OR($BA$14="",ISNUMBER(SEARCH($BA$14,'All Data'!$K334&amp;" "&amp;'All Data'!$M334))),OR($BA$15="",ISNUMBER(SEARCH($BA$15,'All Data'!$K334&amp;" "&amp;'All Data'!$M334)))),1,0)</f>
        <v>1</v>
      </c>
      <c r="H334">
        <f t="shared" si="30"/>
        <v>0</v>
      </c>
      <c r="I334">
        <f>IF(AND($H334=1,'All Data'!$C334&lt;&gt;"",COUNTIFS($H$2:H333,1,'All Data'!$C$2:$C333,'All Data'!$C334)=0),1,0)</f>
        <v>0</v>
      </c>
      <c r="J334" t="str">
        <f>IF($I334=1,SUM($I$2:I334),"")</f>
        <v/>
      </c>
      <c r="K334">
        <f t="shared" si="31"/>
        <v>0</v>
      </c>
      <c r="L334">
        <f>IF(AND($K334=1,'All Data'!$D334&lt;&gt;"",COUNTIFS($K$2:K333,1,'All Data'!$D$2:$D333,'All Data'!$D334)=0),1,0)</f>
        <v>0</v>
      </c>
      <c r="M334" t="str">
        <f>IF($L334=1,SUM($L$2:L334),"")</f>
        <v/>
      </c>
      <c r="N334">
        <f t="shared" si="32"/>
        <v>0</v>
      </c>
      <c r="O334">
        <f>IF(AND($N334=1,'All Data'!$E334&lt;&gt;"",COUNTIFS($N$2:N333,1,'All Data'!$E$2:$E333,'All Data'!$E334)=0),1,0)</f>
        <v>0</v>
      </c>
      <c r="P334" t="str">
        <f>IF($O334=1,SUM($O$2:O334),"")</f>
        <v/>
      </c>
      <c r="Q334">
        <f t="shared" si="33"/>
        <v>0</v>
      </c>
      <c r="R334">
        <f>IF(AND($Q334=1,'All Data'!$F334&lt;&gt;"",COUNTIFS($Q$2:Q333,1,'All Data'!$F$2:$F333,'All Data'!$F334)=0),1,0)</f>
        <v>0</v>
      </c>
      <c r="S334" t="str">
        <f>IF($R334=1,SUM($R$2:R334),"")</f>
        <v/>
      </c>
      <c r="T334">
        <f t="shared" si="34"/>
        <v>0</v>
      </c>
      <c r="U334">
        <f>IF(AND($T334=1,'All Data'!$G334&lt;&gt;"",COUNTIFS($T$2:T333,1,'All Data'!$G$2:$G333,'All Data'!$G334)=0),1,0)</f>
        <v>0</v>
      </c>
      <c r="V334" t="str">
        <f>IF($U334=1,SUM($U$2:U334),"")</f>
        <v/>
      </c>
      <c r="W334">
        <f t="shared" si="35"/>
        <v>0</v>
      </c>
      <c r="X334" t="str">
        <f>IF($W334=1,SUM($W$2:W334),"")</f>
        <v/>
      </c>
    </row>
    <row r="335" spans="1:24" x14ac:dyDescent="0.3">
      <c r="A335">
        <f>IF(OR($BA1="Any",$BA1=""),1,IF('All Data'!$B335=$BA1,1,0))</f>
        <v>0</v>
      </c>
      <c r="B335">
        <f>IF(OR($BA2="Any",$BA2=""),1,IF('All Data'!$C335=$BA2,1,0))</f>
        <v>1</v>
      </c>
      <c r="C335">
        <f>IF(OR($BA3="Any",$BA3=""),1,IF('All Data'!$D335=$BA3,1,0))</f>
        <v>1</v>
      </c>
      <c r="D335">
        <f>IF(OR($BA4="Any",$BA4=""),1,IF('All Data'!$E335=$BA4,1,0))</f>
        <v>1</v>
      </c>
      <c r="E335">
        <f>IF(OR($BA5="Any",$BA5=""),1,IF('All Data'!$F335=$BA5,1,0))</f>
        <v>1</v>
      </c>
      <c r="F335">
        <f>IF(OR($BA6="Any",$BA6=""),1,IF('All Data'!$G335=$BA6,1,0))</f>
        <v>0</v>
      </c>
      <c r="G335">
        <f>IF(AND(OR($BA$8="",ISNUMBER(SEARCH($BA$8,'All Data'!$K335&amp;" "&amp;'All Data'!$M335))),OR($BA$9="",ISNUMBER(SEARCH($BA$9,'All Data'!$K335&amp;" "&amp;'All Data'!$M335))),OR($BA$10="",ISNUMBER(SEARCH($BA$10,'All Data'!$K335&amp;" "&amp;'All Data'!$M335))),OR($BA$11="",ISNUMBER(SEARCH($BA$11,'All Data'!$K335&amp;" "&amp;'All Data'!$M335))),OR($BA$12="",ISNUMBER(SEARCH($BA$12,'All Data'!$K335&amp;" "&amp;'All Data'!$M335))),OR($BA$13="",ISNUMBER(SEARCH($BA$13,'All Data'!$K335&amp;" "&amp;'All Data'!$M335))),OR($BA$14="",ISNUMBER(SEARCH($BA$14,'All Data'!$K335&amp;" "&amp;'All Data'!$M335))),OR($BA$15="",ISNUMBER(SEARCH($BA$15,'All Data'!$K335&amp;" "&amp;'All Data'!$M335)))),1,0)</f>
        <v>1</v>
      </c>
      <c r="H335">
        <f t="shared" si="30"/>
        <v>0</v>
      </c>
      <c r="I335">
        <f>IF(AND($H335=1,'All Data'!$C335&lt;&gt;"",COUNTIFS($H$2:H334,1,'All Data'!$C$2:$C334,'All Data'!$C335)=0),1,0)</f>
        <v>0</v>
      </c>
      <c r="J335" t="str">
        <f>IF($I335=1,SUM($I$2:I335),"")</f>
        <v/>
      </c>
      <c r="K335">
        <f t="shared" si="31"/>
        <v>0</v>
      </c>
      <c r="L335">
        <f>IF(AND($K335=1,'All Data'!$D335&lt;&gt;"",COUNTIFS($K$2:K334,1,'All Data'!$D$2:$D334,'All Data'!$D335)=0),1,0)</f>
        <v>0</v>
      </c>
      <c r="M335" t="str">
        <f>IF($L335=1,SUM($L$2:L335),"")</f>
        <v/>
      </c>
      <c r="N335">
        <f t="shared" si="32"/>
        <v>0</v>
      </c>
      <c r="O335">
        <f>IF(AND($N335=1,'All Data'!$E335&lt;&gt;"",COUNTIFS($N$2:N334,1,'All Data'!$E$2:$E334,'All Data'!$E335)=0),1,0)</f>
        <v>0</v>
      </c>
      <c r="P335" t="str">
        <f>IF($O335=1,SUM($O$2:O335),"")</f>
        <v/>
      </c>
      <c r="Q335">
        <f t="shared" si="33"/>
        <v>0</v>
      </c>
      <c r="R335">
        <f>IF(AND($Q335=1,'All Data'!$F335&lt;&gt;"",COUNTIFS($Q$2:Q334,1,'All Data'!$F$2:$F334,'All Data'!$F335)=0),1,0)</f>
        <v>0</v>
      </c>
      <c r="S335" t="str">
        <f>IF($R335=1,SUM($R$2:R335),"")</f>
        <v/>
      </c>
      <c r="T335">
        <f t="shared" si="34"/>
        <v>0</v>
      </c>
      <c r="U335">
        <f>IF(AND($T335=1,'All Data'!$G335&lt;&gt;"",COUNTIFS($T$2:T334,1,'All Data'!$G$2:$G334,'All Data'!$G335)=0),1,0)</f>
        <v>0</v>
      </c>
      <c r="V335" t="str">
        <f>IF($U335=1,SUM($U$2:U335),"")</f>
        <v/>
      </c>
      <c r="W335">
        <f t="shared" si="35"/>
        <v>0</v>
      </c>
      <c r="X335" t="str">
        <f>IF($W335=1,SUM($W$2:W335),"")</f>
        <v/>
      </c>
    </row>
    <row r="336" spans="1:24" x14ac:dyDescent="0.3">
      <c r="A336">
        <f>IF(OR($BA1="Any",$BA1=""),1,IF('All Data'!$B336=$BA1,1,0))</f>
        <v>0</v>
      </c>
      <c r="B336">
        <f>IF(OR($BA2="Any",$BA2=""),1,IF('All Data'!$C336=$BA2,1,0))</f>
        <v>1</v>
      </c>
      <c r="C336">
        <f>IF(OR($BA3="Any",$BA3=""),1,IF('All Data'!$D336=$BA3,1,0))</f>
        <v>1</v>
      </c>
      <c r="D336">
        <f>IF(OR($BA4="Any",$BA4=""),1,IF('All Data'!$E336=$BA4,1,0))</f>
        <v>1</v>
      </c>
      <c r="E336">
        <f>IF(OR($BA5="Any",$BA5=""),1,IF('All Data'!$F336=$BA5,1,0))</f>
        <v>1</v>
      </c>
      <c r="F336">
        <f>IF(OR($BA6="Any",$BA6=""),1,IF('All Data'!$G336=$BA6,1,0))</f>
        <v>1</v>
      </c>
      <c r="G336">
        <f>IF(AND(OR($BA$8="",ISNUMBER(SEARCH($BA$8,'All Data'!$K336&amp;" "&amp;'All Data'!$M336))),OR($BA$9="",ISNUMBER(SEARCH($BA$9,'All Data'!$K336&amp;" "&amp;'All Data'!$M336))),OR($BA$10="",ISNUMBER(SEARCH($BA$10,'All Data'!$K336&amp;" "&amp;'All Data'!$M336))),OR($BA$11="",ISNUMBER(SEARCH($BA$11,'All Data'!$K336&amp;" "&amp;'All Data'!$M336))),OR($BA$12="",ISNUMBER(SEARCH($BA$12,'All Data'!$K336&amp;" "&amp;'All Data'!$M336))),OR($BA$13="",ISNUMBER(SEARCH($BA$13,'All Data'!$K336&amp;" "&amp;'All Data'!$M336))),OR($BA$14="",ISNUMBER(SEARCH($BA$14,'All Data'!$K336&amp;" "&amp;'All Data'!$M336))),OR($BA$15="",ISNUMBER(SEARCH($BA$15,'All Data'!$K336&amp;" "&amp;'All Data'!$M336)))),1,0)</f>
        <v>1</v>
      </c>
      <c r="H336">
        <f t="shared" si="30"/>
        <v>0</v>
      </c>
      <c r="I336">
        <f>IF(AND($H336=1,'All Data'!$C336&lt;&gt;"",COUNTIFS($H$2:H335,1,'All Data'!$C$2:$C335,'All Data'!$C336)=0),1,0)</f>
        <v>0</v>
      </c>
      <c r="J336" t="str">
        <f>IF($I336=1,SUM($I$2:I336),"")</f>
        <v/>
      </c>
      <c r="K336">
        <f t="shared" si="31"/>
        <v>0</v>
      </c>
      <c r="L336">
        <f>IF(AND($K336=1,'All Data'!$D336&lt;&gt;"",COUNTIFS($K$2:K335,1,'All Data'!$D$2:$D335,'All Data'!$D336)=0),1,0)</f>
        <v>0</v>
      </c>
      <c r="M336" t="str">
        <f>IF($L336=1,SUM($L$2:L336),"")</f>
        <v/>
      </c>
      <c r="N336">
        <f t="shared" si="32"/>
        <v>0</v>
      </c>
      <c r="O336">
        <f>IF(AND($N336=1,'All Data'!$E336&lt;&gt;"",COUNTIFS($N$2:N335,1,'All Data'!$E$2:$E335,'All Data'!$E336)=0),1,0)</f>
        <v>0</v>
      </c>
      <c r="P336" t="str">
        <f>IF($O336=1,SUM($O$2:O336),"")</f>
        <v/>
      </c>
      <c r="Q336">
        <f t="shared" si="33"/>
        <v>0</v>
      </c>
      <c r="R336">
        <f>IF(AND($Q336=1,'All Data'!$F336&lt;&gt;"",COUNTIFS($Q$2:Q335,1,'All Data'!$F$2:$F335,'All Data'!$F336)=0),1,0)</f>
        <v>0</v>
      </c>
      <c r="S336" t="str">
        <f>IF($R336=1,SUM($R$2:R336),"")</f>
        <v/>
      </c>
      <c r="T336">
        <f t="shared" si="34"/>
        <v>0</v>
      </c>
      <c r="U336">
        <f>IF(AND($T336=1,'All Data'!$G336&lt;&gt;"",COUNTIFS($T$2:T335,1,'All Data'!$G$2:$G335,'All Data'!$G336)=0),1,0)</f>
        <v>0</v>
      </c>
      <c r="V336" t="str">
        <f>IF($U336=1,SUM($U$2:U336),"")</f>
        <v/>
      </c>
      <c r="W336">
        <f t="shared" si="35"/>
        <v>0</v>
      </c>
      <c r="X336" t="str">
        <f>IF($W336=1,SUM($W$2:W336),"")</f>
        <v/>
      </c>
    </row>
    <row r="337" spans="1:24" x14ac:dyDescent="0.3">
      <c r="A337">
        <f>IF(OR($BA1="Any",$BA1=""),1,IF('All Data'!$B337=$BA1,1,0))</f>
        <v>0</v>
      </c>
      <c r="B337">
        <f>IF(OR($BA2="Any",$BA2=""),1,IF('All Data'!$C337=$BA2,1,0))</f>
        <v>1</v>
      </c>
      <c r="C337">
        <f>IF(OR($BA3="Any",$BA3=""),1,IF('All Data'!$D337=$BA3,1,0))</f>
        <v>1</v>
      </c>
      <c r="D337">
        <f>IF(OR($BA4="Any",$BA4=""),1,IF('All Data'!$E337=$BA4,1,0))</f>
        <v>1</v>
      </c>
      <c r="E337">
        <f>IF(OR($BA5="Any",$BA5=""),1,IF('All Data'!$F337=$BA5,1,0))</f>
        <v>1</v>
      </c>
      <c r="F337">
        <f>IF(OR($BA6="Any",$BA6=""),1,IF('All Data'!$G337=$BA6,1,0))</f>
        <v>0</v>
      </c>
      <c r="G337">
        <f>IF(AND(OR($BA$8="",ISNUMBER(SEARCH($BA$8,'All Data'!$K337&amp;" "&amp;'All Data'!$M337))),OR($BA$9="",ISNUMBER(SEARCH($BA$9,'All Data'!$K337&amp;" "&amp;'All Data'!$M337))),OR($BA$10="",ISNUMBER(SEARCH($BA$10,'All Data'!$K337&amp;" "&amp;'All Data'!$M337))),OR($BA$11="",ISNUMBER(SEARCH($BA$11,'All Data'!$K337&amp;" "&amp;'All Data'!$M337))),OR($BA$12="",ISNUMBER(SEARCH($BA$12,'All Data'!$K337&amp;" "&amp;'All Data'!$M337))),OR($BA$13="",ISNUMBER(SEARCH($BA$13,'All Data'!$K337&amp;" "&amp;'All Data'!$M337))),OR($BA$14="",ISNUMBER(SEARCH($BA$14,'All Data'!$K337&amp;" "&amp;'All Data'!$M337))),OR($BA$15="",ISNUMBER(SEARCH($BA$15,'All Data'!$K337&amp;" "&amp;'All Data'!$M337)))),1,0)</f>
        <v>1</v>
      </c>
      <c r="H337">
        <f t="shared" si="30"/>
        <v>0</v>
      </c>
      <c r="I337">
        <f>IF(AND($H337=1,'All Data'!$C337&lt;&gt;"",COUNTIFS($H$2:H336,1,'All Data'!$C$2:$C336,'All Data'!$C337)=0),1,0)</f>
        <v>0</v>
      </c>
      <c r="J337" t="str">
        <f>IF($I337=1,SUM($I$2:I337),"")</f>
        <v/>
      </c>
      <c r="K337">
        <f t="shared" si="31"/>
        <v>0</v>
      </c>
      <c r="L337">
        <f>IF(AND($K337=1,'All Data'!$D337&lt;&gt;"",COUNTIFS($K$2:K336,1,'All Data'!$D$2:$D336,'All Data'!$D337)=0),1,0)</f>
        <v>0</v>
      </c>
      <c r="M337" t="str">
        <f>IF($L337=1,SUM($L$2:L337),"")</f>
        <v/>
      </c>
      <c r="N337">
        <f t="shared" si="32"/>
        <v>0</v>
      </c>
      <c r="O337">
        <f>IF(AND($N337=1,'All Data'!$E337&lt;&gt;"",COUNTIFS($N$2:N336,1,'All Data'!$E$2:$E336,'All Data'!$E337)=0),1,0)</f>
        <v>0</v>
      </c>
      <c r="P337" t="str">
        <f>IF($O337=1,SUM($O$2:O337),"")</f>
        <v/>
      </c>
      <c r="Q337">
        <f t="shared" si="33"/>
        <v>0</v>
      </c>
      <c r="R337">
        <f>IF(AND($Q337=1,'All Data'!$F337&lt;&gt;"",COUNTIFS($Q$2:Q336,1,'All Data'!$F$2:$F336,'All Data'!$F337)=0),1,0)</f>
        <v>0</v>
      </c>
      <c r="S337" t="str">
        <f>IF($R337=1,SUM($R$2:R337),"")</f>
        <v/>
      </c>
      <c r="T337">
        <f t="shared" si="34"/>
        <v>0</v>
      </c>
      <c r="U337">
        <f>IF(AND($T337=1,'All Data'!$G337&lt;&gt;"",COUNTIFS($T$2:T336,1,'All Data'!$G$2:$G336,'All Data'!$G337)=0),1,0)</f>
        <v>0</v>
      </c>
      <c r="V337" t="str">
        <f>IF($U337=1,SUM($U$2:U337),"")</f>
        <v/>
      </c>
      <c r="W337">
        <f t="shared" si="35"/>
        <v>0</v>
      </c>
      <c r="X337" t="str">
        <f>IF($W337=1,SUM($W$2:W337),"")</f>
        <v/>
      </c>
    </row>
    <row r="338" spans="1:24" x14ac:dyDescent="0.3">
      <c r="A338">
        <f>IF(OR($BA1="Any",$BA1=""),1,IF('All Data'!$B338=$BA1,1,0))</f>
        <v>0</v>
      </c>
      <c r="B338">
        <f>IF(OR($BA2="Any",$BA2=""),1,IF('All Data'!$C338=$BA2,1,0))</f>
        <v>1</v>
      </c>
      <c r="C338">
        <f>IF(OR($BA3="Any",$BA3=""),1,IF('All Data'!$D338=$BA3,1,0))</f>
        <v>1</v>
      </c>
      <c r="D338">
        <f>IF(OR($BA4="Any",$BA4=""),1,IF('All Data'!$E338=$BA4,1,0))</f>
        <v>1</v>
      </c>
      <c r="E338">
        <f>IF(OR($BA5="Any",$BA5=""),1,IF('All Data'!$F338=$BA5,1,0))</f>
        <v>1</v>
      </c>
      <c r="F338">
        <f>IF(OR($BA6="Any",$BA6=""),1,IF('All Data'!$G338=$BA6,1,0))</f>
        <v>0</v>
      </c>
      <c r="G338">
        <f>IF(AND(OR($BA$8="",ISNUMBER(SEARCH($BA$8,'All Data'!$K338&amp;" "&amp;'All Data'!$M338))),OR($BA$9="",ISNUMBER(SEARCH($BA$9,'All Data'!$K338&amp;" "&amp;'All Data'!$M338))),OR($BA$10="",ISNUMBER(SEARCH($BA$10,'All Data'!$K338&amp;" "&amp;'All Data'!$M338))),OR($BA$11="",ISNUMBER(SEARCH($BA$11,'All Data'!$K338&amp;" "&amp;'All Data'!$M338))),OR($BA$12="",ISNUMBER(SEARCH($BA$12,'All Data'!$K338&amp;" "&amp;'All Data'!$M338))),OR($BA$13="",ISNUMBER(SEARCH($BA$13,'All Data'!$K338&amp;" "&amp;'All Data'!$M338))),OR($BA$14="",ISNUMBER(SEARCH($BA$14,'All Data'!$K338&amp;" "&amp;'All Data'!$M338))),OR($BA$15="",ISNUMBER(SEARCH($BA$15,'All Data'!$K338&amp;" "&amp;'All Data'!$M338)))),1,0)</f>
        <v>1</v>
      </c>
      <c r="H338">
        <f t="shared" si="30"/>
        <v>0</v>
      </c>
      <c r="I338">
        <f>IF(AND($H338=1,'All Data'!$C338&lt;&gt;"",COUNTIFS($H$2:H337,1,'All Data'!$C$2:$C337,'All Data'!$C338)=0),1,0)</f>
        <v>0</v>
      </c>
      <c r="J338" t="str">
        <f>IF($I338=1,SUM($I$2:I338),"")</f>
        <v/>
      </c>
      <c r="K338">
        <f t="shared" si="31"/>
        <v>0</v>
      </c>
      <c r="L338">
        <f>IF(AND($K338=1,'All Data'!$D338&lt;&gt;"",COUNTIFS($K$2:K337,1,'All Data'!$D$2:$D337,'All Data'!$D338)=0),1,0)</f>
        <v>0</v>
      </c>
      <c r="M338" t="str">
        <f>IF($L338=1,SUM($L$2:L338),"")</f>
        <v/>
      </c>
      <c r="N338">
        <f t="shared" si="32"/>
        <v>0</v>
      </c>
      <c r="O338">
        <f>IF(AND($N338=1,'All Data'!$E338&lt;&gt;"",COUNTIFS($N$2:N337,1,'All Data'!$E$2:$E337,'All Data'!$E338)=0),1,0)</f>
        <v>0</v>
      </c>
      <c r="P338" t="str">
        <f>IF($O338=1,SUM($O$2:O338),"")</f>
        <v/>
      </c>
      <c r="Q338">
        <f t="shared" si="33"/>
        <v>0</v>
      </c>
      <c r="R338">
        <f>IF(AND($Q338=1,'All Data'!$F338&lt;&gt;"",COUNTIFS($Q$2:Q337,1,'All Data'!$F$2:$F337,'All Data'!$F338)=0),1,0)</f>
        <v>0</v>
      </c>
      <c r="S338" t="str">
        <f>IF($R338=1,SUM($R$2:R338),"")</f>
        <v/>
      </c>
      <c r="T338">
        <f t="shared" si="34"/>
        <v>0</v>
      </c>
      <c r="U338">
        <f>IF(AND($T338=1,'All Data'!$G338&lt;&gt;"",COUNTIFS($T$2:T337,1,'All Data'!$G$2:$G337,'All Data'!$G338)=0),1,0)</f>
        <v>0</v>
      </c>
      <c r="V338" t="str">
        <f>IF($U338=1,SUM($U$2:U338),"")</f>
        <v/>
      </c>
      <c r="W338">
        <f t="shared" si="35"/>
        <v>0</v>
      </c>
      <c r="X338" t="str">
        <f>IF($W338=1,SUM($W$2:W338),"")</f>
        <v/>
      </c>
    </row>
    <row r="339" spans="1:24" x14ac:dyDescent="0.3">
      <c r="A339">
        <f>IF(OR($BA1="Any",$BA1=""),1,IF('All Data'!$B339=$BA1,1,0))</f>
        <v>0</v>
      </c>
      <c r="B339">
        <f>IF(OR($BA2="Any",$BA2=""),1,IF('All Data'!$C339=$BA2,1,0))</f>
        <v>1</v>
      </c>
      <c r="C339">
        <f>IF(OR($BA3="Any",$BA3=""),1,IF('All Data'!$D339=$BA3,1,0))</f>
        <v>1</v>
      </c>
      <c r="D339">
        <f>IF(OR($BA4="Any",$BA4=""),1,IF('All Data'!$E339=$BA4,1,0))</f>
        <v>1</v>
      </c>
      <c r="E339">
        <f>IF(OR($BA5="Any",$BA5=""),1,IF('All Data'!$F339=$BA5,1,0))</f>
        <v>1</v>
      </c>
      <c r="F339">
        <f>IF(OR($BA6="Any",$BA6=""),1,IF('All Data'!$G339=$BA6,1,0))</f>
        <v>0</v>
      </c>
      <c r="G339">
        <f>IF(AND(OR($BA$8="",ISNUMBER(SEARCH($BA$8,'All Data'!$K339&amp;" "&amp;'All Data'!$M339))),OR($BA$9="",ISNUMBER(SEARCH($BA$9,'All Data'!$K339&amp;" "&amp;'All Data'!$M339))),OR($BA$10="",ISNUMBER(SEARCH($BA$10,'All Data'!$K339&amp;" "&amp;'All Data'!$M339))),OR($BA$11="",ISNUMBER(SEARCH($BA$11,'All Data'!$K339&amp;" "&amp;'All Data'!$M339))),OR($BA$12="",ISNUMBER(SEARCH($BA$12,'All Data'!$K339&amp;" "&amp;'All Data'!$M339))),OR($BA$13="",ISNUMBER(SEARCH($BA$13,'All Data'!$K339&amp;" "&amp;'All Data'!$M339))),OR($BA$14="",ISNUMBER(SEARCH($BA$14,'All Data'!$K339&amp;" "&amp;'All Data'!$M339))),OR($BA$15="",ISNUMBER(SEARCH($BA$15,'All Data'!$K339&amp;" "&amp;'All Data'!$M339)))),1,0)</f>
        <v>1</v>
      </c>
      <c r="H339">
        <f t="shared" si="30"/>
        <v>0</v>
      </c>
      <c r="I339">
        <f>IF(AND($H339=1,'All Data'!$C339&lt;&gt;"",COUNTIFS($H$2:H338,1,'All Data'!$C$2:$C338,'All Data'!$C339)=0),1,0)</f>
        <v>0</v>
      </c>
      <c r="J339" t="str">
        <f>IF($I339=1,SUM($I$2:I339),"")</f>
        <v/>
      </c>
      <c r="K339">
        <f t="shared" si="31"/>
        <v>0</v>
      </c>
      <c r="L339">
        <f>IF(AND($K339=1,'All Data'!$D339&lt;&gt;"",COUNTIFS($K$2:K338,1,'All Data'!$D$2:$D338,'All Data'!$D339)=0),1,0)</f>
        <v>0</v>
      </c>
      <c r="M339" t="str">
        <f>IF($L339=1,SUM($L$2:L339),"")</f>
        <v/>
      </c>
      <c r="N339">
        <f t="shared" si="32"/>
        <v>0</v>
      </c>
      <c r="O339">
        <f>IF(AND($N339=1,'All Data'!$E339&lt;&gt;"",COUNTIFS($N$2:N338,1,'All Data'!$E$2:$E338,'All Data'!$E339)=0),1,0)</f>
        <v>0</v>
      </c>
      <c r="P339" t="str">
        <f>IF($O339=1,SUM($O$2:O339),"")</f>
        <v/>
      </c>
      <c r="Q339">
        <f t="shared" si="33"/>
        <v>0</v>
      </c>
      <c r="R339">
        <f>IF(AND($Q339=1,'All Data'!$F339&lt;&gt;"",COUNTIFS($Q$2:Q338,1,'All Data'!$F$2:$F338,'All Data'!$F339)=0),1,0)</f>
        <v>0</v>
      </c>
      <c r="S339" t="str">
        <f>IF($R339=1,SUM($R$2:R339),"")</f>
        <v/>
      </c>
      <c r="T339">
        <f t="shared" si="34"/>
        <v>0</v>
      </c>
      <c r="U339">
        <f>IF(AND($T339=1,'All Data'!$G339&lt;&gt;"",COUNTIFS($T$2:T338,1,'All Data'!$G$2:$G338,'All Data'!$G339)=0),1,0)</f>
        <v>0</v>
      </c>
      <c r="V339" t="str">
        <f>IF($U339=1,SUM($U$2:U339),"")</f>
        <v/>
      </c>
      <c r="W339">
        <f t="shared" si="35"/>
        <v>0</v>
      </c>
      <c r="X339" t="str">
        <f>IF($W339=1,SUM($W$2:W339),"")</f>
        <v/>
      </c>
    </row>
    <row r="340" spans="1:24" x14ac:dyDescent="0.3">
      <c r="A340">
        <f>IF(OR($BA1="Any",$BA1=""),1,IF('All Data'!$B340=$BA1,1,0))</f>
        <v>0</v>
      </c>
      <c r="B340">
        <f>IF(OR($BA2="Any",$BA2=""),1,IF('All Data'!$C340=$BA2,1,0))</f>
        <v>1</v>
      </c>
      <c r="C340">
        <f>IF(OR($BA3="Any",$BA3=""),1,IF('All Data'!$D340=$BA3,1,0))</f>
        <v>1</v>
      </c>
      <c r="D340">
        <f>IF(OR($BA4="Any",$BA4=""),1,IF('All Data'!$E340=$BA4,1,0))</f>
        <v>1</v>
      </c>
      <c r="E340">
        <f>IF(OR($BA5="Any",$BA5=""),1,IF('All Data'!$F340=$BA5,1,0))</f>
        <v>1</v>
      </c>
      <c r="F340">
        <f>IF(OR($BA6="Any",$BA6=""),1,IF('All Data'!$G340=$BA6,1,0))</f>
        <v>0</v>
      </c>
      <c r="G340">
        <f>IF(AND(OR($BA$8="",ISNUMBER(SEARCH($BA$8,'All Data'!$K340&amp;" "&amp;'All Data'!$M340))),OR($BA$9="",ISNUMBER(SEARCH($BA$9,'All Data'!$K340&amp;" "&amp;'All Data'!$M340))),OR($BA$10="",ISNUMBER(SEARCH($BA$10,'All Data'!$K340&amp;" "&amp;'All Data'!$M340))),OR($BA$11="",ISNUMBER(SEARCH($BA$11,'All Data'!$K340&amp;" "&amp;'All Data'!$M340))),OR($BA$12="",ISNUMBER(SEARCH($BA$12,'All Data'!$K340&amp;" "&amp;'All Data'!$M340))),OR($BA$13="",ISNUMBER(SEARCH($BA$13,'All Data'!$K340&amp;" "&amp;'All Data'!$M340))),OR($BA$14="",ISNUMBER(SEARCH($BA$14,'All Data'!$K340&amp;" "&amp;'All Data'!$M340))),OR($BA$15="",ISNUMBER(SEARCH($BA$15,'All Data'!$K340&amp;" "&amp;'All Data'!$M340)))),1,0)</f>
        <v>1</v>
      </c>
      <c r="H340">
        <f t="shared" si="30"/>
        <v>0</v>
      </c>
      <c r="I340">
        <f>IF(AND($H340=1,'All Data'!$C340&lt;&gt;"",COUNTIFS($H$2:H339,1,'All Data'!$C$2:$C339,'All Data'!$C340)=0),1,0)</f>
        <v>0</v>
      </c>
      <c r="J340" t="str">
        <f>IF($I340=1,SUM($I$2:I340),"")</f>
        <v/>
      </c>
      <c r="K340">
        <f t="shared" si="31"/>
        <v>0</v>
      </c>
      <c r="L340">
        <f>IF(AND($K340=1,'All Data'!$D340&lt;&gt;"",COUNTIFS($K$2:K339,1,'All Data'!$D$2:$D339,'All Data'!$D340)=0),1,0)</f>
        <v>0</v>
      </c>
      <c r="M340" t="str">
        <f>IF($L340=1,SUM($L$2:L340),"")</f>
        <v/>
      </c>
      <c r="N340">
        <f t="shared" si="32"/>
        <v>0</v>
      </c>
      <c r="O340">
        <f>IF(AND($N340=1,'All Data'!$E340&lt;&gt;"",COUNTIFS($N$2:N339,1,'All Data'!$E$2:$E339,'All Data'!$E340)=0),1,0)</f>
        <v>0</v>
      </c>
      <c r="P340" t="str">
        <f>IF($O340=1,SUM($O$2:O340),"")</f>
        <v/>
      </c>
      <c r="Q340">
        <f t="shared" si="33"/>
        <v>0</v>
      </c>
      <c r="R340">
        <f>IF(AND($Q340=1,'All Data'!$F340&lt;&gt;"",COUNTIFS($Q$2:Q339,1,'All Data'!$F$2:$F339,'All Data'!$F340)=0),1,0)</f>
        <v>0</v>
      </c>
      <c r="S340" t="str">
        <f>IF($R340=1,SUM($R$2:R340),"")</f>
        <v/>
      </c>
      <c r="T340">
        <f t="shared" si="34"/>
        <v>0</v>
      </c>
      <c r="U340">
        <f>IF(AND($T340=1,'All Data'!$G340&lt;&gt;"",COUNTIFS($T$2:T339,1,'All Data'!$G$2:$G339,'All Data'!$G340)=0),1,0)</f>
        <v>0</v>
      </c>
      <c r="V340" t="str">
        <f>IF($U340=1,SUM($U$2:U340),"")</f>
        <v/>
      </c>
      <c r="W340">
        <f t="shared" si="35"/>
        <v>0</v>
      </c>
      <c r="X340" t="str">
        <f>IF($W340=1,SUM($W$2:W340),"")</f>
        <v/>
      </c>
    </row>
    <row r="341" spans="1:24" x14ac:dyDescent="0.3">
      <c r="A341">
        <f>IF(OR($BA1="Any",$BA1=""),1,IF('All Data'!$B341=$BA1,1,0))</f>
        <v>0</v>
      </c>
      <c r="B341">
        <f>IF(OR($BA2="Any",$BA2=""),1,IF('All Data'!$C341=$BA2,1,0))</f>
        <v>1</v>
      </c>
      <c r="C341">
        <f>IF(OR($BA3="Any",$BA3=""),1,IF('All Data'!$D341=$BA3,1,0))</f>
        <v>1</v>
      </c>
      <c r="D341">
        <f>IF(OR($BA4="Any",$BA4=""),1,IF('All Data'!$E341=$BA4,1,0))</f>
        <v>1</v>
      </c>
      <c r="E341">
        <f>IF(OR($BA5="Any",$BA5=""),1,IF('All Data'!$F341=$BA5,1,0))</f>
        <v>1</v>
      </c>
      <c r="F341">
        <f>IF(OR($BA6="Any",$BA6=""),1,IF('All Data'!$G341=$BA6,1,0))</f>
        <v>0</v>
      </c>
      <c r="G341">
        <f>IF(AND(OR($BA$8="",ISNUMBER(SEARCH($BA$8,'All Data'!$K341&amp;" "&amp;'All Data'!$M341))),OR($BA$9="",ISNUMBER(SEARCH($BA$9,'All Data'!$K341&amp;" "&amp;'All Data'!$M341))),OR($BA$10="",ISNUMBER(SEARCH($BA$10,'All Data'!$K341&amp;" "&amp;'All Data'!$M341))),OR($BA$11="",ISNUMBER(SEARCH($BA$11,'All Data'!$K341&amp;" "&amp;'All Data'!$M341))),OR($BA$12="",ISNUMBER(SEARCH($BA$12,'All Data'!$K341&amp;" "&amp;'All Data'!$M341))),OR($BA$13="",ISNUMBER(SEARCH($BA$13,'All Data'!$K341&amp;" "&amp;'All Data'!$M341))),OR($BA$14="",ISNUMBER(SEARCH($BA$14,'All Data'!$K341&amp;" "&amp;'All Data'!$M341))),OR($BA$15="",ISNUMBER(SEARCH($BA$15,'All Data'!$K341&amp;" "&amp;'All Data'!$M341)))),1,0)</f>
        <v>1</v>
      </c>
      <c r="H341">
        <f t="shared" si="30"/>
        <v>0</v>
      </c>
      <c r="I341">
        <f>IF(AND($H341=1,'All Data'!$C341&lt;&gt;"",COUNTIFS($H$2:H340,1,'All Data'!$C$2:$C340,'All Data'!$C341)=0),1,0)</f>
        <v>0</v>
      </c>
      <c r="J341" t="str">
        <f>IF($I341=1,SUM($I$2:I341),"")</f>
        <v/>
      </c>
      <c r="K341">
        <f t="shared" si="31"/>
        <v>0</v>
      </c>
      <c r="L341">
        <f>IF(AND($K341=1,'All Data'!$D341&lt;&gt;"",COUNTIFS($K$2:K340,1,'All Data'!$D$2:$D340,'All Data'!$D341)=0),1,0)</f>
        <v>0</v>
      </c>
      <c r="M341" t="str">
        <f>IF($L341=1,SUM($L$2:L341),"")</f>
        <v/>
      </c>
      <c r="N341">
        <f t="shared" si="32"/>
        <v>0</v>
      </c>
      <c r="O341">
        <f>IF(AND($N341=1,'All Data'!$E341&lt;&gt;"",COUNTIFS($N$2:N340,1,'All Data'!$E$2:$E340,'All Data'!$E341)=0),1,0)</f>
        <v>0</v>
      </c>
      <c r="P341" t="str">
        <f>IF($O341=1,SUM($O$2:O341),"")</f>
        <v/>
      </c>
      <c r="Q341">
        <f t="shared" si="33"/>
        <v>0</v>
      </c>
      <c r="R341">
        <f>IF(AND($Q341=1,'All Data'!$F341&lt;&gt;"",COUNTIFS($Q$2:Q340,1,'All Data'!$F$2:$F340,'All Data'!$F341)=0),1,0)</f>
        <v>0</v>
      </c>
      <c r="S341" t="str">
        <f>IF($R341=1,SUM($R$2:R341),"")</f>
        <v/>
      </c>
      <c r="T341">
        <f t="shared" si="34"/>
        <v>0</v>
      </c>
      <c r="U341">
        <f>IF(AND($T341=1,'All Data'!$G341&lt;&gt;"",COUNTIFS($T$2:T340,1,'All Data'!$G$2:$G340,'All Data'!$G341)=0),1,0)</f>
        <v>0</v>
      </c>
      <c r="V341" t="str">
        <f>IF($U341=1,SUM($U$2:U341),"")</f>
        <v/>
      </c>
      <c r="W341">
        <f t="shared" si="35"/>
        <v>0</v>
      </c>
      <c r="X341" t="str">
        <f>IF($W341=1,SUM($W$2:W341),"")</f>
        <v/>
      </c>
    </row>
    <row r="342" spans="1:24" x14ac:dyDescent="0.3">
      <c r="A342">
        <f>IF(OR($BA1="Any",$BA1=""),1,IF('All Data'!$B342=$BA1,1,0))</f>
        <v>0</v>
      </c>
      <c r="B342">
        <f>IF(OR($BA2="Any",$BA2=""),1,IF('All Data'!$C342=$BA2,1,0))</f>
        <v>1</v>
      </c>
      <c r="C342">
        <f>IF(OR($BA3="Any",$BA3=""),1,IF('All Data'!$D342=$BA3,1,0))</f>
        <v>1</v>
      </c>
      <c r="D342">
        <f>IF(OR($BA4="Any",$BA4=""),1,IF('All Data'!$E342=$BA4,1,0))</f>
        <v>1</v>
      </c>
      <c r="E342">
        <f>IF(OR($BA5="Any",$BA5=""),1,IF('All Data'!$F342=$BA5,1,0))</f>
        <v>1</v>
      </c>
      <c r="F342">
        <f>IF(OR($BA6="Any",$BA6=""),1,IF('All Data'!$G342=$BA6,1,0))</f>
        <v>1</v>
      </c>
      <c r="G342">
        <f>IF(AND(OR($BA$8="",ISNUMBER(SEARCH($BA$8,'All Data'!$K342&amp;" "&amp;'All Data'!$M342))),OR($BA$9="",ISNUMBER(SEARCH($BA$9,'All Data'!$K342&amp;" "&amp;'All Data'!$M342))),OR($BA$10="",ISNUMBER(SEARCH($BA$10,'All Data'!$K342&amp;" "&amp;'All Data'!$M342))),OR($BA$11="",ISNUMBER(SEARCH($BA$11,'All Data'!$K342&amp;" "&amp;'All Data'!$M342))),OR($BA$12="",ISNUMBER(SEARCH($BA$12,'All Data'!$K342&amp;" "&amp;'All Data'!$M342))),OR($BA$13="",ISNUMBER(SEARCH($BA$13,'All Data'!$K342&amp;" "&amp;'All Data'!$M342))),OR($BA$14="",ISNUMBER(SEARCH($BA$14,'All Data'!$K342&amp;" "&amp;'All Data'!$M342))),OR($BA$15="",ISNUMBER(SEARCH($BA$15,'All Data'!$K342&amp;" "&amp;'All Data'!$M342)))),1,0)</f>
        <v>1</v>
      </c>
      <c r="H342">
        <f t="shared" si="30"/>
        <v>0</v>
      </c>
      <c r="I342">
        <f>IF(AND($H342=1,'All Data'!$C342&lt;&gt;"",COUNTIFS($H$2:H341,1,'All Data'!$C$2:$C341,'All Data'!$C342)=0),1,0)</f>
        <v>0</v>
      </c>
      <c r="J342" t="str">
        <f>IF($I342=1,SUM($I$2:I342),"")</f>
        <v/>
      </c>
      <c r="K342">
        <f t="shared" si="31"/>
        <v>0</v>
      </c>
      <c r="L342">
        <f>IF(AND($K342=1,'All Data'!$D342&lt;&gt;"",COUNTIFS($K$2:K341,1,'All Data'!$D$2:$D341,'All Data'!$D342)=0),1,0)</f>
        <v>0</v>
      </c>
      <c r="M342" t="str">
        <f>IF($L342=1,SUM($L$2:L342),"")</f>
        <v/>
      </c>
      <c r="N342">
        <f t="shared" si="32"/>
        <v>0</v>
      </c>
      <c r="O342">
        <f>IF(AND($N342=1,'All Data'!$E342&lt;&gt;"",COUNTIFS($N$2:N341,1,'All Data'!$E$2:$E341,'All Data'!$E342)=0),1,0)</f>
        <v>0</v>
      </c>
      <c r="P342" t="str">
        <f>IF($O342=1,SUM($O$2:O342),"")</f>
        <v/>
      </c>
      <c r="Q342">
        <f t="shared" si="33"/>
        <v>0</v>
      </c>
      <c r="R342">
        <f>IF(AND($Q342=1,'All Data'!$F342&lt;&gt;"",COUNTIFS($Q$2:Q341,1,'All Data'!$F$2:$F341,'All Data'!$F342)=0),1,0)</f>
        <v>0</v>
      </c>
      <c r="S342" t="str">
        <f>IF($R342=1,SUM($R$2:R342),"")</f>
        <v/>
      </c>
      <c r="T342">
        <f t="shared" si="34"/>
        <v>0</v>
      </c>
      <c r="U342">
        <f>IF(AND($T342=1,'All Data'!$G342&lt;&gt;"",COUNTIFS($T$2:T341,1,'All Data'!$G$2:$G341,'All Data'!$G342)=0),1,0)</f>
        <v>0</v>
      </c>
      <c r="V342" t="str">
        <f>IF($U342=1,SUM($U$2:U342),"")</f>
        <v/>
      </c>
      <c r="W342">
        <f t="shared" si="35"/>
        <v>0</v>
      </c>
      <c r="X342" t="str">
        <f>IF($W342=1,SUM($W$2:W342),"")</f>
        <v/>
      </c>
    </row>
    <row r="343" spans="1:24" x14ac:dyDescent="0.3">
      <c r="A343">
        <f>IF(OR($BA1="Any",$BA1=""),1,IF('All Data'!$B343=$BA1,1,0))</f>
        <v>0</v>
      </c>
      <c r="B343">
        <f>IF(OR($BA2="Any",$BA2=""),1,IF('All Data'!$C343=$BA2,1,0))</f>
        <v>1</v>
      </c>
      <c r="C343">
        <f>IF(OR($BA3="Any",$BA3=""),1,IF('All Data'!$D343=$BA3,1,0))</f>
        <v>1</v>
      </c>
      <c r="D343">
        <f>IF(OR($BA4="Any",$BA4=""),1,IF('All Data'!$E343=$BA4,1,0))</f>
        <v>1</v>
      </c>
      <c r="E343">
        <f>IF(OR($BA5="Any",$BA5=""),1,IF('All Data'!$F343=$BA5,1,0))</f>
        <v>1</v>
      </c>
      <c r="F343">
        <f>IF(OR($BA6="Any",$BA6=""),1,IF('All Data'!$G343=$BA6,1,0))</f>
        <v>0</v>
      </c>
      <c r="G343">
        <f>IF(AND(OR($BA$8="",ISNUMBER(SEARCH($BA$8,'All Data'!$K343&amp;" "&amp;'All Data'!$M343))),OR($BA$9="",ISNUMBER(SEARCH($BA$9,'All Data'!$K343&amp;" "&amp;'All Data'!$M343))),OR($BA$10="",ISNUMBER(SEARCH($BA$10,'All Data'!$K343&amp;" "&amp;'All Data'!$M343))),OR($BA$11="",ISNUMBER(SEARCH($BA$11,'All Data'!$K343&amp;" "&amp;'All Data'!$M343))),OR($BA$12="",ISNUMBER(SEARCH($BA$12,'All Data'!$K343&amp;" "&amp;'All Data'!$M343))),OR($BA$13="",ISNUMBER(SEARCH($BA$13,'All Data'!$K343&amp;" "&amp;'All Data'!$M343))),OR($BA$14="",ISNUMBER(SEARCH($BA$14,'All Data'!$K343&amp;" "&amp;'All Data'!$M343))),OR($BA$15="",ISNUMBER(SEARCH($BA$15,'All Data'!$K343&amp;" "&amp;'All Data'!$M343)))),1,0)</f>
        <v>1</v>
      </c>
      <c r="H343">
        <f t="shared" si="30"/>
        <v>0</v>
      </c>
      <c r="I343">
        <f>IF(AND($H343=1,'All Data'!$C343&lt;&gt;"",COUNTIFS($H$2:H342,1,'All Data'!$C$2:$C342,'All Data'!$C343)=0),1,0)</f>
        <v>0</v>
      </c>
      <c r="J343" t="str">
        <f>IF($I343=1,SUM($I$2:I343),"")</f>
        <v/>
      </c>
      <c r="K343">
        <f t="shared" si="31"/>
        <v>0</v>
      </c>
      <c r="L343">
        <f>IF(AND($K343=1,'All Data'!$D343&lt;&gt;"",COUNTIFS($K$2:K342,1,'All Data'!$D$2:$D342,'All Data'!$D343)=0),1,0)</f>
        <v>0</v>
      </c>
      <c r="M343" t="str">
        <f>IF($L343=1,SUM($L$2:L343),"")</f>
        <v/>
      </c>
      <c r="N343">
        <f t="shared" si="32"/>
        <v>0</v>
      </c>
      <c r="O343">
        <f>IF(AND($N343=1,'All Data'!$E343&lt;&gt;"",COUNTIFS($N$2:N342,1,'All Data'!$E$2:$E342,'All Data'!$E343)=0),1,0)</f>
        <v>0</v>
      </c>
      <c r="P343" t="str">
        <f>IF($O343=1,SUM($O$2:O343),"")</f>
        <v/>
      </c>
      <c r="Q343">
        <f t="shared" si="33"/>
        <v>0</v>
      </c>
      <c r="R343">
        <f>IF(AND($Q343=1,'All Data'!$F343&lt;&gt;"",COUNTIFS($Q$2:Q342,1,'All Data'!$F$2:$F342,'All Data'!$F343)=0),1,0)</f>
        <v>0</v>
      </c>
      <c r="S343" t="str">
        <f>IF($R343=1,SUM($R$2:R343),"")</f>
        <v/>
      </c>
      <c r="T343">
        <f t="shared" si="34"/>
        <v>0</v>
      </c>
      <c r="U343">
        <f>IF(AND($T343=1,'All Data'!$G343&lt;&gt;"",COUNTIFS($T$2:T342,1,'All Data'!$G$2:$G342,'All Data'!$G343)=0),1,0)</f>
        <v>0</v>
      </c>
      <c r="V343" t="str">
        <f>IF($U343=1,SUM($U$2:U343),"")</f>
        <v/>
      </c>
      <c r="W343">
        <f t="shared" si="35"/>
        <v>0</v>
      </c>
      <c r="X343" t="str">
        <f>IF($W343=1,SUM($W$2:W343),"")</f>
        <v/>
      </c>
    </row>
    <row r="344" spans="1:24" x14ac:dyDescent="0.3">
      <c r="A344">
        <f>IF(OR($BA1="Any",$BA1=""),1,IF('All Data'!$B344=$BA1,1,0))</f>
        <v>0</v>
      </c>
      <c r="B344">
        <f>IF(OR($BA2="Any",$BA2=""),1,IF('All Data'!$C344=$BA2,1,0))</f>
        <v>1</v>
      </c>
      <c r="C344">
        <f>IF(OR($BA3="Any",$BA3=""),1,IF('All Data'!$D344=$BA3,1,0))</f>
        <v>1</v>
      </c>
      <c r="D344">
        <f>IF(OR($BA4="Any",$BA4=""),1,IF('All Data'!$E344=$BA4,1,0))</f>
        <v>1</v>
      </c>
      <c r="E344">
        <f>IF(OR($BA5="Any",$BA5=""),1,IF('All Data'!$F344=$BA5,1,0))</f>
        <v>1</v>
      </c>
      <c r="F344">
        <f>IF(OR($BA6="Any",$BA6=""),1,IF('All Data'!$G344=$BA6,1,0))</f>
        <v>0</v>
      </c>
      <c r="G344">
        <f>IF(AND(OR($BA$8="",ISNUMBER(SEARCH($BA$8,'All Data'!$K344&amp;" "&amp;'All Data'!$M344))),OR($BA$9="",ISNUMBER(SEARCH($BA$9,'All Data'!$K344&amp;" "&amp;'All Data'!$M344))),OR($BA$10="",ISNUMBER(SEARCH($BA$10,'All Data'!$K344&amp;" "&amp;'All Data'!$M344))),OR($BA$11="",ISNUMBER(SEARCH($BA$11,'All Data'!$K344&amp;" "&amp;'All Data'!$M344))),OR($BA$12="",ISNUMBER(SEARCH($BA$12,'All Data'!$K344&amp;" "&amp;'All Data'!$M344))),OR($BA$13="",ISNUMBER(SEARCH($BA$13,'All Data'!$K344&amp;" "&amp;'All Data'!$M344))),OR($BA$14="",ISNUMBER(SEARCH($BA$14,'All Data'!$K344&amp;" "&amp;'All Data'!$M344))),OR($BA$15="",ISNUMBER(SEARCH($BA$15,'All Data'!$K344&amp;" "&amp;'All Data'!$M344)))),1,0)</f>
        <v>1</v>
      </c>
      <c r="H344">
        <f t="shared" si="30"/>
        <v>0</v>
      </c>
      <c r="I344">
        <f>IF(AND($H344=1,'All Data'!$C344&lt;&gt;"",COUNTIFS($H$2:H343,1,'All Data'!$C$2:$C343,'All Data'!$C344)=0),1,0)</f>
        <v>0</v>
      </c>
      <c r="J344" t="str">
        <f>IF($I344=1,SUM($I$2:I344),"")</f>
        <v/>
      </c>
      <c r="K344">
        <f t="shared" si="31"/>
        <v>0</v>
      </c>
      <c r="L344">
        <f>IF(AND($K344=1,'All Data'!$D344&lt;&gt;"",COUNTIFS($K$2:K343,1,'All Data'!$D$2:$D343,'All Data'!$D344)=0),1,0)</f>
        <v>0</v>
      </c>
      <c r="M344" t="str">
        <f>IF($L344=1,SUM($L$2:L344),"")</f>
        <v/>
      </c>
      <c r="N344">
        <f t="shared" si="32"/>
        <v>0</v>
      </c>
      <c r="O344">
        <f>IF(AND($N344=1,'All Data'!$E344&lt;&gt;"",COUNTIFS($N$2:N343,1,'All Data'!$E$2:$E343,'All Data'!$E344)=0),1,0)</f>
        <v>0</v>
      </c>
      <c r="P344" t="str">
        <f>IF($O344=1,SUM($O$2:O344),"")</f>
        <v/>
      </c>
      <c r="Q344">
        <f t="shared" si="33"/>
        <v>0</v>
      </c>
      <c r="R344">
        <f>IF(AND($Q344=1,'All Data'!$F344&lt;&gt;"",COUNTIFS($Q$2:Q343,1,'All Data'!$F$2:$F343,'All Data'!$F344)=0),1,0)</f>
        <v>0</v>
      </c>
      <c r="S344" t="str">
        <f>IF($R344=1,SUM($R$2:R344),"")</f>
        <v/>
      </c>
      <c r="T344">
        <f t="shared" si="34"/>
        <v>0</v>
      </c>
      <c r="U344">
        <f>IF(AND($T344=1,'All Data'!$G344&lt;&gt;"",COUNTIFS($T$2:T343,1,'All Data'!$G$2:$G343,'All Data'!$G344)=0),1,0)</f>
        <v>0</v>
      </c>
      <c r="V344" t="str">
        <f>IF($U344=1,SUM($U$2:U344),"")</f>
        <v/>
      </c>
      <c r="W344">
        <f t="shared" si="35"/>
        <v>0</v>
      </c>
      <c r="X344" t="str">
        <f>IF($W344=1,SUM($W$2:W344),"")</f>
        <v/>
      </c>
    </row>
    <row r="345" spans="1:24" x14ac:dyDescent="0.3">
      <c r="A345">
        <f>IF(OR($BA1="Any",$BA1=""),1,IF('All Data'!$B345=$BA1,1,0))</f>
        <v>0</v>
      </c>
      <c r="B345">
        <f>IF(OR($BA2="Any",$BA2=""),1,IF('All Data'!$C345=$BA2,1,0))</f>
        <v>1</v>
      </c>
      <c r="C345">
        <f>IF(OR($BA3="Any",$BA3=""),1,IF('All Data'!$D345=$BA3,1,0))</f>
        <v>1</v>
      </c>
      <c r="D345">
        <f>IF(OR($BA4="Any",$BA4=""),1,IF('All Data'!$E345=$BA4,1,0))</f>
        <v>1</v>
      </c>
      <c r="E345">
        <f>IF(OR($BA5="Any",$BA5=""),1,IF('All Data'!$F345=$BA5,1,0))</f>
        <v>1</v>
      </c>
      <c r="F345">
        <f>IF(OR($BA6="Any",$BA6=""),1,IF('All Data'!$G345=$BA6,1,0))</f>
        <v>0</v>
      </c>
      <c r="G345">
        <f>IF(AND(OR($BA$8="",ISNUMBER(SEARCH($BA$8,'All Data'!$K345&amp;" "&amp;'All Data'!$M345))),OR($BA$9="",ISNUMBER(SEARCH($BA$9,'All Data'!$K345&amp;" "&amp;'All Data'!$M345))),OR($BA$10="",ISNUMBER(SEARCH($BA$10,'All Data'!$K345&amp;" "&amp;'All Data'!$M345))),OR($BA$11="",ISNUMBER(SEARCH($BA$11,'All Data'!$K345&amp;" "&amp;'All Data'!$M345))),OR($BA$12="",ISNUMBER(SEARCH($BA$12,'All Data'!$K345&amp;" "&amp;'All Data'!$M345))),OR($BA$13="",ISNUMBER(SEARCH($BA$13,'All Data'!$K345&amp;" "&amp;'All Data'!$M345))),OR($BA$14="",ISNUMBER(SEARCH($BA$14,'All Data'!$K345&amp;" "&amp;'All Data'!$M345))),OR($BA$15="",ISNUMBER(SEARCH($BA$15,'All Data'!$K345&amp;" "&amp;'All Data'!$M345)))),1,0)</f>
        <v>1</v>
      </c>
      <c r="H345">
        <f t="shared" si="30"/>
        <v>0</v>
      </c>
      <c r="I345">
        <f>IF(AND($H345=1,'All Data'!$C345&lt;&gt;"",COUNTIFS($H$2:H344,1,'All Data'!$C$2:$C344,'All Data'!$C345)=0),1,0)</f>
        <v>0</v>
      </c>
      <c r="J345" t="str">
        <f>IF($I345=1,SUM($I$2:I345),"")</f>
        <v/>
      </c>
      <c r="K345">
        <f t="shared" si="31"/>
        <v>0</v>
      </c>
      <c r="L345">
        <f>IF(AND($K345=1,'All Data'!$D345&lt;&gt;"",COUNTIFS($K$2:K344,1,'All Data'!$D$2:$D344,'All Data'!$D345)=0),1,0)</f>
        <v>0</v>
      </c>
      <c r="M345" t="str">
        <f>IF($L345=1,SUM($L$2:L345),"")</f>
        <v/>
      </c>
      <c r="N345">
        <f t="shared" si="32"/>
        <v>0</v>
      </c>
      <c r="O345">
        <f>IF(AND($N345=1,'All Data'!$E345&lt;&gt;"",COUNTIFS($N$2:N344,1,'All Data'!$E$2:$E344,'All Data'!$E345)=0),1,0)</f>
        <v>0</v>
      </c>
      <c r="P345" t="str">
        <f>IF($O345=1,SUM($O$2:O345),"")</f>
        <v/>
      </c>
      <c r="Q345">
        <f t="shared" si="33"/>
        <v>0</v>
      </c>
      <c r="R345">
        <f>IF(AND($Q345=1,'All Data'!$F345&lt;&gt;"",COUNTIFS($Q$2:Q344,1,'All Data'!$F$2:$F344,'All Data'!$F345)=0),1,0)</f>
        <v>0</v>
      </c>
      <c r="S345" t="str">
        <f>IF($R345=1,SUM($R$2:R345),"")</f>
        <v/>
      </c>
      <c r="T345">
        <f t="shared" si="34"/>
        <v>0</v>
      </c>
      <c r="U345">
        <f>IF(AND($T345=1,'All Data'!$G345&lt;&gt;"",COUNTIFS($T$2:T344,1,'All Data'!$G$2:$G344,'All Data'!$G345)=0),1,0)</f>
        <v>0</v>
      </c>
      <c r="V345" t="str">
        <f>IF($U345=1,SUM($U$2:U345),"")</f>
        <v/>
      </c>
      <c r="W345">
        <f t="shared" si="35"/>
        <v>0</v>
      </c>
      <c r="X345" t="str">
        <f>IF($W345=1,SUM($W$2:W345),"")</f>
        <v/>
      </c>
    </row>
    <row r="346" spans="1:24" x14ac:dyDescent="0.3">
      <c r="A346">
        <f>IF(OR($BA1="Any",$BA1=""),1,IF('All Data'!$B346=$BA1,1,0))</f>
        <v>0</v>
      </c>
      <c r="B346">
        <f>IF(OR($BA2="Any",$BA2=""),1,IF('All Data'!$C346=$BA2,1,0))</f>
        <v>1</v>
      </c>
      <c r="C346">
        <f>IF(OR($BA3="Any",$BA3=""),1,IF('All Data'!$D346=$BA3,1,0))</f>
        <v>1</v>
      </c>
      <c r="D346">
        <f>IF(OR($BA4="Any",$BA4=""),1,IF('All Data'!$E346=$BA4,1,0))</f>
        <v>1</v>
      </c>
      <c r="E346">
        <f>IF(OR($BA5="Any",$BA5=""),1,IF('All Data'!$F346=$BA5,1,0))</f>
        <v>1</v>
      </c>
      <c r="F346">
        <f>IF(OR($BA6="Any",$BA6=""),1,IF('All Data'!$G346=$BA6,1,0))</f>
        <v>0</v>
      </c>
      <c r="G346">
        <f>IF(AND(OR($BA$8="",ISNUMBER(SEARCH($BA$8,'All Data'!$K346&amp;" "&amp;'All Data'!$M346))),OR($BA$9="",ISNUMBER(SEARCH($BA$9,'All Data'!$K346&amp;" "&amp;'All Data'!$M346))),OR($BA$10="",ISNUMBER(SEARCH($BA$10,'All Data'!$K346&amp;" "&amp;'All Data'!$M346))),OR($BA$11="",ISNUMBER(SEARCH($BA$11,'All Data'!$K346&amp;" "&amp;'All Data'!$M346))),OR($BA$12="",ISNUMBER(SEARCH($BA$12,'All Data'!$K346&amp;" "&amp;'All Data'!$M346))),OR($BA$13="",ISNUMBER(SEARCH($BA$13,'All Data'!$K346&amp;" "&amp;'All Data'!$M346))),OR($BA$14="",ISNUMBER(SEARCH($BA$14,'All Data'!$K346&amp;" "&amp;'All Data'!$M346))),OR($BA$15="",ISNUMBER(SEARCH($BA$15,'All Data'!$K346&amp;" "&amp;'All Data'!$M346)))),1,0)</f>
        <v>1</v>
      </c>
      <c r="H346">
        <f t="shared" si="30"/>
        <v>0</v>
      </c>
      <c r="I346">
        <f>IF(AND($H346=1,'All Data'!$C346&lt;&gt;"",COUNTIFS($H$2:H345,1,'All Data'!$C$2:$C345,'All Data'!$C346)=0),1,0)</f>
        <v>0</v>
      </c>
      <c r="J346" t="str">
        <f>IF($I346=1,SUM($I$2:I346),"")</f>
        <v/>
      </c>
      <c r="K346">
        <f t="shared" si="31"/>
        <v>0</v>
      </c>
      <c r="L346">
        <f>IF(AND($K346=1,'All Data'!$D346&lt;&gt;"",COUNTIFS($K$2:K345,1,'All Data'!$D$2:$D345,'All Data'!$D346)=0),1,0)</f>
        <v>0</v>
      </c>
      <c r="M346" t="str">
        <f>IF($L346=1,SUM($L$2:L346),"")</f>
        <v/>
      </c>
      <c r="N346">
        <f t="shared" si="32"/>
        <v>0</v>
      </c>
      <c r="O346">
        <f>IF(AND($N346=1,'All Data'!$E346&lt;&gt;"",COUNTIFS($N$2:N345,1,'All Data'!$E$2:$E345,'All Data'!$E346)=0),1,0)</f>
        <v>0</v>
      </c>
      <c r="P346" t="str">
        <f>IF($O346=1,SUM($O$2:O346),"")</f>
        <v/>
      </c>
      <c r="Q346">
        <f t="shared" si="33"/>
        <v>0</v>
      </c>
      <c r="R346">
        <f>IF(AND($Q346=1,'All Data'!$F346&lt;&gt;"",COUNTIFS($Q$2:Q345,1,'All Data'!$F$2:$F345,'All Data'!$F346)=0),1,0)</f>
        <v>0</v>
      </c>
      <c r="S346" t="str">
        <f>IF($R346=1,SUM($R$2:R346),"")</f>
        <v/>
      </c>
      <c r="T346">
        <f t="shared" si="34"/>
        <v>0</v>
      </c>
      <c r="U346">
        <f>IF(AND($T346=1,'All Data'!$G346&lt;&gt;"",COUNTIFS($T$2:T345,1,'All Data'!$G$2:$G345,'All Data'!$G346)=0),1,0)</f>
        <v>0</v>
      </c>
      <c r="V346" t="str">
        <f>IF($U346=1,SUM($U$2:U346),"")</f>
        <v/>
      </c>
      <c r="W346">
        <f t="shared" si="35"/>
        <v>0</v>
      </c>
      <c r="X346" t="str">
        <f>IF($W346=1,SUM($W$2:W346),"")</f>
        <v/>
      </c>
    </row>
    <row r="347" spans="1:24" x14ac:dyDescent="0.3">
      <c r="A347">
        <f>IF(OR($BA1="Any",$BA1=""),1,IF('All Data'!$B347=$BA1,1,0))</f>
        <v>0</v>
      </c>
      <c r="B347">
        <f>IF(OR($BA2="Any",$BA2=""),1,IF('All Data'!$C347=$BA2,1,0))</f>
        <v>1</v>
      </c>
      <c r="C347">
        <f>IF(OR($BA3="Any",$BA3=""),1,IF('All Data'!$D347=$BA3,1,0))</f>
        <v>1</v>
      </c>
      <c r="D347">
        <f>IF(OR($BA4="Any",$BA4=""),1,IF('All Data'!$E347=$BA4,1,0))</f>
        <v>1</v>
      </c>
      <c r="E347">
        <f>IF(OR($BA5="Any",$BA5=""),1,IF('All Data'!$F347=$BA5,1,0))</f>
        <v>1</v>
      </c>
      <c r="F347">
        <f>IF(OR($BA6="Any",$BA6=""),1,IF('All Data'!$G347=$BA6,1,0))</f>
        <v>0</v>
      </c>
      <c r="G347">
        <f>IF(AND(OR($BA$8="",ISNUMBER(SEARCH($BA$8,'All Data'!$K347&amp;" "&amp;'All Data'!$M347))),OR($BA$9="",ISNUMBER(SEARCH($BA$9,'All Data'!$K347&amp;" "&amp;'All Data'!$M347))),OR($BA$10="",ISNUMBER(SEARCH($BA$10,'All Data'!$K347&amp;" "&amp;'All Data'!$M347))),OR($BA$11="",ISNUMBER(SEARCH($BA$11,'All Data'!$K347&amp;" "&amp;'All Data'!$M347))),OR($BA$12="",ISNUMBER(SEARCH($BA$12,'All Data'!$K347&amp;" "&amp;'All Data'!$M347))),OR($BA$13="",ISNUMBER(SEARCH($BA$13,'All Data'!$K347&amp;" "&amp;'All Data'!$M347))),OR($BA$14="",ISNUMBER(SEARCH($BA$14,'All Data'!$K347&amp;" "&amp;'All Data'!$M347))),OR($BA$15="",ISNUMBER(SEARCH($BA$15,'All Data'!$K347&amp;" "&amp;'All Data'!$M347)))),1,0)</f>
        <v>1</v>
      </c>
      <c r="H347">
        <f t="shared" si="30"/>
        <v>0</v>
      </c>
      <c r="I347">
        <f>IF(AND($H347=1,'All Data'!$C347&lt;&gt;"",COUNTIFS($H$2:H346,1,'All Data'!$C$2:$C346,'All Data'!$C347)=0),1,0)</f>
        <v>0</v>
      </c>
      <c r="J347" t="str">
        <f>IF($I347=1,SUM($I$2:I347),"")</f>
        <v/>
      </c>
      <c r="K347">
        <f t="shared" si="31"/>
        <v>0</v>
      </c>
      <c r="L347">
        <f>IF(AND($K347=1,'All Data'!$D347&lt;&gt;"",COUNTIFS($K$2:K346,1,'All Data'!$D$2:$D346,'All Data'!$D347)=0),1,0)</f>
        <v>0</v>
      </c>
      <c r="M347" t="str">
        <f>IF($L347=1,SUM($L$2:L347),"")</f>
        <v/>
      </c>
      <c r="N347">
        <f t="shared" si="32"/>
        <v>0</v>
      </c>
      <c r="O347">
        <f>IF(AND($N347=1,'All Data'!$E347&lt;&gt;"",COUNTIFS($N$2:N346,1,'All Data'!$E$2:$E346,'All Data'!$E347)=0),1,0)</f>
        <v>0</v>
      </c>
      <c r="P347" t="str">
        <f>IF($O347=1,SUM($O$2:O347),"")</f>
        <v/>
      </c>
      <c r="Q347">
        <f t="shared" si="33"/>
        <v>0</v>
      </c>
      <c r="R347">
        <f>IF(AND($Q347=1,'All Data'!$F347&lt;&gt;"",COUNTIFS($Q$2:Q346,1,'All Data'!$F$2:$F346,'All Data'!$F347)=0),1,0)</f>
        <v>0</v>
      </c>
      <c r="S347" t="str">
        <f>IF($R347=1,SUM($R$2:R347),"")</f>
        <v/>
      </c>
      <c r="T347">
        <f t="shared" si="34"/>
        <v>0</v>
      </c>
      <c r="U347">
        <f>IF(AND($T347=1,'All Data'!$G347&lt;&gt;"",COUNTIFS($T$2:T346,1,'All Data'!$G$2:$G346,'All Data'!$G347)=0),1,0)</f>
        <v>0</v>
      </c>
      <c r="V347" t="str">
        <f>IF($U347=1,SUM($U$2:U347),"")</f>
        <v/>
      </c>
      <c r="W347">
        <f t="shared" si="35"/>
        <v>0</v>
      </c>
      <c r="X347" t="str">
        <f>IF($W347=1,SUM($W$2:W347),"")</f>
        <v/>
      </c>
    </row>
    <row r="348" spans="1:24" x14ac:dyDescent="0.3">
      <c r="A348">
        <f>IF(OR($BA1="Any",$BA1=""),1,IF('All Data'!$B348=$BA1,1,0))</f>
        <v>0</v>
      </c>
      <c r="B348">
        <f>IF(OR($BA2="Any",$BA2=""),1,IF('All Data'!$C348=$BA2,1,0))</f>
        <v>1</v>
      </c>
      <c r="C348">
        <f>IF(OR($BA3="Any",$BA3=""),1,IF('All Data'!$D348=$BA3,1,0))</f>
        <v>1</v>
      </c>
      <c r="D348">
        <f>IF(OR($BA4="Any",$BA4=""),1,IF('All Data'!$E348=$BA4,1,0))</f>
        <v>1</v>
      </c>
      <c r="E348">
        <f>IF(OR($BA5="Any",$BA5=""),1,IF('All Data'!$F348=$BA5,1,0))</f>
        <v>1</v>
      </c>
      <c r="F348">
        <f>IF(OR($BA6="Any",$BA6=""),1,IF('All Data'!$G348=$BA6,1,0))</f>
        <v>0</v>
      </c>
      <c r="G348">
        <f>IF(AND(OR($BA$8="",ISNUMBER(SEARCH($BA$8,'All Data'!$K348&amp;" "&amp;'All Data'!$M348))),OR($BA$9="",ISNUMBER(SEARCH($BA$9,'All Data'!$K348&amp;" "&amp;'All Data'!$M348))),OR($BA$10="",ISNUMBER(SEARCH($BA$10,'All Data'!$K348&amp;" "&amp;'All Data'!$M348))),OR($BA$11="",ISNUMBER(SEARCH($BA$11,'All Data'!$K348&amp;" "&amp;'All Data'!$M348))),OR($BA$12="",ISNUMBER(SEARCH($BA$12,'All Data'!$K348&amp;" "&amp;'All Data'!$M348))),OR($BA$13="",ISNUMBER(SEARCH($BA$13,'All Data'!$K348&amp;" "&amp;'All Data'!$M348))),OR($BA$14="",ISNUMBER(SEARCH($BA$14,'All Data'!$K348&amp;" "&amp;'All Data'!$M348))),OR($BA$15="",ISNUMBER(SEARCH($BA$15,'All Data'!$K348&amp;" "&amp;'All Data'!$M348)))),1,0)</f>
        <v>1</v>
      </c>
      <c r="H348">
        <f t="shared" si="30"/>
        <v>0</v>
      </c>
      <c r="I348">
        <f>IF(AND($H348=1,'All Data'!$C348&lt;&gt;"",COUNTIFS($H$2:H347,1,'All Data'!$C$2:$C347,'All Data'!$C348)=0),1,0)</f>
        <v>0</v>
      </c>
      <c r="J348" t="str">
        <f>IF($I348=1,SUM($I$2:I348),"")</f>
        <v/>
      </c>
      <c r="K348">
        <f t="shared" si="31"/>
        <v>0</v>
      </c>
      <c r="L348">
        <f>IF(AND($K348=1,'All Data'!$D348&lt;&gt;"",COUNTIFS($K$2:K347,1,'All Data'!$D$2:$D347,'All Data'!$D348)=0),1,0)</f>
        <v>0</v>
      </c>
      <c r="M348" t="str">
        <f>IF($L348=1,SUM($L$2:L348),"")</f>
        <v/>
      </c>
      <c r="N348">
        <f t="shared" si="32"/>
        <v>0</v>
      </c>
      <c r="O348">
        <f>IF(AND($N348=1,'All Data'!$E348&lt;&gt;"",COUNTIFS($N$2:N347,1,'All Data'!$E$2:$E347,'All Data'!$E348)=0),1,0)</f>
        <v>0</v>
      </c>
      <c r="P348" t="str">
        <f>IF($O348=1,SUM($O$2:O348),"")</f>
        <v/>
      </c>
      <c r="Q348">
        <f t="shared" si="33"/>
        <v>0</v>
      </c>
      <c r="R348">
        <f>IF(AND($Q348=1,'All Data'!$F348&lt;&gt;"",COUNTIFS($Q$2:Q347,1,'All Data'!$F$2:$F347,'All Data'!$F348)=0),1,0)</f>
        <v>0</v>
      </c>
      <c r="S348" t="str">
        <f>IF($R348=1,SUM($R$2:R348),"")</f>
        <v/>
      </c>
      <c r="T348">
        <f t="shared" si="34"/>
        <v>0</v>
      </c>
      <c r="U348">
        <f>IF(AND($T348=1,'All Data'!$G348&lt;&gt;"",COUNTIFS($T$2:T347,1,'All Data'!$G$2:$G347,'All Data'!$G348)=0),1,0)</f>
        <v>0</v>
      </c>
      <c r="V348" t="str">
        <f>IF($U348=1,SUM($U$2:U348),"")</f>
        <v/>
      </c>
      <c r="W348">
        <f t="shared" si="35"/>
        <v>0</v>
      </c>
      <c r="X348" t="str">
        <f>IF($W348=1,SUM($W$2:W348),"")</f>
        <v/>
      </c>
    </row>
    <row r="349" spans="1:24" x14ac:dyDescent="0.3">
      <c r="A349">
        <f>IF(OR($BA1="Any",$BA1=""),1,IF('All Data'!$B349=$BA1,1,0))</f>
        <v>0</v>
      </c>
      <c r="B349">
        <f>IF(OR($BA2="Any",$BA2=""),1,IF('All Data'!$C349=$BA2,1,0))</f>
        <v>1</v>
      </c>
      <c r="C349">
        <f>IF(OR($BA3="Any",$BA3=""),1,IF('All Data'!$D349=$BA3,1,0))</f>
        <v>1</v>
      </c>
      <c r="D349">
        <f>IF(OR($BA4="Any",$BA4=""),1,IF('All Data'!$E349=$BA4,1,0))</f>
        <v>1</v>
      </c>
      <c r="E349">
        <f>IF(OR($BA5="Any",$BA5=""),1,IF('All Data'!$F349=$BA5,1,0))</f>
        <v>1</v>
      </c>
      <c r="F349">
        <f>IF(OR($BA6="Any",$BA6=""),1,IF('All Data'!$G349=$BA6,1,0))</f>
        <v>1</v>
      </c>
      <c r="G349">
        <f>IF(AND(OR($BA$8="",ISNUMBER(SEARCH($BA$8,'All Data'!$K349&amp;" "&amp;'All Data'!$M349))),OR($BA$9="",ISNUMBER(SEARCH($BA$9,'All Data'!$K349&amp;" "&amp;'All Data'!$M349))),OR($BA$10="",ISNUMBER(SEARCH($BA$10,'All Data'!$K349&amp;" "&amp;'All Data'!$M349))),OR($BA$11="",ISNUMBER(SEARCH($BA$11,'All Data'!$K349&amp;" "&amp;'All Data'!$M349))),OR($BA$12="",ISNUMBER(SEARCH($BA$12,'All Data'!$K349&amp;" "&amp;'All Data'!$M349))),OR($BA$13="",ISNUMBER(SEARCH($BA$13,'All Data'!$K349&amp;" "&amp;'All Data'!$M349))),OR($BA$14="",ISNUMBER(SEARCH($BA$14,'All Data'!$K349&amp;" "&amp;'All Data'!$M349))),OR($BA$15="",ISNUMBER(SEARCH($BA$15,'All Data'!$K349&amp;" "&amp;'All Data'!$M349)))),1,0)</f>
        <v>1</v>
      </c>
      <c r="H349">
        <f t="shared" si="30"/>
        <v>0</v>
      </c>
      <c r="I349">
        <f>IF(AND($H349=1,'All Data'!$C349&lt;&gt;"",COUNTIFS($H$2:H348,1,'All Data'!$C$2:$C348,'All Data'!$C349)=0),1,0)</f>
        <v>0</v>
      </c>
      <c r="J349" t="str">
        <f>IF($I349=1,SUM($I$2:I349),"")</f>
        <v/>
      </c>
      <c r="K349">
        <f t="shared" si="31"/>
        <v>0</v>
      </c>
      <c r="L349">
        <f>IF(AND($K349=1,'All Data'!$D349&lt;&gt;"",COUNTIFS($K$2:K348,1,'All Data'!$D$2:$D348,'All Data'!$D349)=0),1,0)</f>
        <v>0</v>
      </c>
      <c r="M349" t="str">
        <f>IF($L349=1,SUM($L$2:L349),"")</f>
        <v/>
      </c>
      <c r="N349">
        <f t="shared" si="32"/>
        <v>0</v>
      </c>
      <c r="O349">
        <f>IF(AND($N349=1,'All Data'!$E349&lt;&gt;"",COUNTIFS($N$2:N348,1,'All Data'!$E$2:$E348,'All Data'!$E349)=0),1,0)</f>
        <v>0</v>
      </c>
      <c r="P349" t="str">
        <f>IF($O349=1,SUM($O$2:O349),"")</f>
        <v/>
      </c>
      <c r="Q349">
        <f t="shared" si="33"/>
        <v>0</v>
      </c>
      <c r="R349">
        <f>IF(AND($Q349=1,'All Data'!$F349&lt;&gt;"",COUNTIFS($Q$2:Q348,1,'All Data'!$F$2:$F348,'All Data'!$F349)=0),1,0)</f>
        <v>0</v>
      </c>
      <c r="S349" t="str">
        <f>IF($R349=1,SUM($R$2:R349),"")</f>
        <v/>
      </c>
      <c r="T349">
        <f t="shared" si="34"/>
        <v>0</v>
      </c>
      <c r="U349">
        <f>IF(AND($T349=1,'All Data'!$G349&lt;&gt;"",COUNTIFS($T$2:T348,1,'All Data'!$G$2:$G348,'All Data'!$G349)=0),1,0)</f>
        <v>0</v>
      </c>
      <c r="V349" t="str">
        <f>IF($U349=1,SUM($U$2:U349),"")</f>
        <v/>
      </c>
      <c r="W349">
        <f t="shared" si="35"/>
        <v>0</v>
      </c>
      <c r="X349" t="str">
        <f>IF($W349=1,SUM($W$2:W349),"")</f>
        <v/>
      </c>
    </row>
    <row r="350" spans="1:24" x14ac:dyDescent="0.3">
      <c r="A350">
        <f>IF(OR($BA1="Any",$BA1=""),1,IF('All Data'!$B350=$BA1,1,0))</f>
        <v>0</v>
      </c>
      <c r="B350">
        <f>IF(OR($BA2="Any",$BA2=""),1,IF('All Data'!$C350=$BA2,1,0))</f>
        <v>1</v>
      </c>
      <c r="C350">
        <f>IF(OR($BA3="Any",$BA3=""),1,IF('All Data'!$D350=$BA3,1,0))</f>
        <v>1</v>
      </c>
      <c r="D350">
        <f>IF(OR($BA4="Any",$BA4=""),1,IF('All Data'!$E350=$BA4,1,0))</f>
        <v>1</v>
      </c>
      <c r="E350">
        <f>IF(OR($BA5="Any",$BA5=""),1,IF('All Data'!$F350=$BA5,1,0))</f>
        <v>1</v>
      </c>
      <c r="F350">
        <f>IF(OR($BA6="Any",$BA6=""),1,IF('All Data'!$G350=$BA6,1,0))</f>
        <v>0</v>
      </c>
      <c r="G350">
        <f>IF(AND(OR($BA$8="",ISNUMBER(SEARCH($BA$8,'All Data'!$K350&amp;" "&amp;'All Data'!$M350))),OR($BA$9="",ISNUMBER(SEARCH($BA$9,'All Data'!$K350&amp;" "&amp;'All Data'!$M350))),OR($BA$10="",ISNUMBER(SEARCH($BA$10,'All Data'!$K350&amp;" "&amp;'All Data'!$M350))),OR($BA$11="",ISNUMBER(SEARCH($BA$11,'All Data'!$K350&amp;" "&amp;'All Data'!$M350))),OR($BA$12="",ISNUMBER(SEARCH($BA$12,'All Data'!$K350&amp;" "&amp;'All Data'!$M350))),OR($BA$13="",ISNUMBER(SEARCH($BA$13,'All Data'!$K350&amp;" "&amp;'All Data'!$M350))),OR($BA$14="",ISNUMBER(SEARCH($BA$14,'All Data'!$K350&amp;" "&amp;'All Data'!$M350))),OR($BA$15="",ISNUMBER(SEARCH($BA$15,'All Data'!$K350&amp;" "&amp;'All Data'!$M350)))),1,0)</f>
        <v>1</v>
      </c>
      <c r="H350">
        <f t="shared" si="30"/>
        <v>0</v>
      </c>
      <c r="I350">
        <f>IF(AND($H350=1,'All Data'!$C350&lt;&gt;"",COUNTIFS($H$2:H349,1,'All Data'!$C$2:$C349,'All Data'!$C350)=0),1,0)</f>
        <v>0</v>
      </c>
      <c r="J350" t="str">
        <f>IF($I350=1,SUM($I$2:I350),"")</f>
        <v/>
      </c>
      <c r="K350">
        <f t="shared" si="31"/>
        <v>0</v>
      </c>
      <c r="L350">
        <f>IF(AND($K350=1,'All Data'!$D350&lt;&gt;"",COUNTIFS($K$2:K349,1,'All Data'!$D$2:$D349,'All Data'!$D350)=0),1,0)</f>
        <v>0</v>
      </c>
      <c r="M350" t="str">
        <f>IF($L350=1,SUM($L$2:L350),"")</f>
        <v/>
      </c>
      <c r="N350">
        <f t="shared" si="32"/>
        <v>0</v>
      </c>
      <c r="O350">
        <f>IF(AND($N350=1,'All Data'!$E350&lt;&gt;"",COUNTIFS($N$2:N349,1,'All Data'!$E$2:$E349,'All Data'!$E350)=0),1,0)</f>
        <v>0</v>
      </c>
      <c r="P350" t="str">
        <f>IF($O350=1,SUM($O$2:O350),"")</f>
        <v/>
      </c>
      <c r="Q350">
        <f t="shared" si="33"/>
        <v>0</v>
      </c>
      <c r="R350">
        <f>IF(AND($Q350=1,'All Data'!$F350&lt;&gt;"",COUNTIFS($Q$2:Q349,1,'All Data'!$F$2:$F349,'All Data'!$F350)=0),1,0)</f>
        <v>0</v>
      </c>
      <c r="S350" t="str">
        <f>IF($R350=1,SUM($R$2:R350),"")</f>
        <v/>
      </c>
      <c r="T350">
        <f t="shared" si="34"/>
        <v>0</v>
      </c>
      <c r="U350">
        <f>IF(AND($T350=1,'All Data'!$G350&lt;&gt;"",COUNTIFS($T$2:T349,1,'All Data'!$G$2:$G349,'All Data'!$G350)=0),1,0)</f>
        <v>0</v>
      </c>
      <c r="V350" t="str">
        <f>IF($U350=1,SUM($U$2:U350),"")</f>
        <v/>
      </c>
      <c r="W350">
        <f t="shared" si="35"/>
        <v>0</v>
      </c>
      <c r="X350" t="str">
        <f>IF($W350=1,SUM($W$2:W350),"")</f>
        <v/>
      </c>
    </row>
    <row r="351" spans="1:24" x14ac:dyDescent="0.3">
      <c r="A351">
        <f>IF(OR($BA1="Any",$BA1=""),1,IF('All Data'!$B351=$BA1,1,0))</f>
        <v>0</v>
      </c>
      <c r="B351">
        <f>IF(OR($BA2="Any",$BA2=""),1,IF('All Data'!$C351=$BA2,1,0))</f>
        <v>1</v>
      </c>
      <c r="C351">
        <f>IF(OR($BA3="Any",$BA3=""),1,IF('All Data'!$D351=$BA3,1,0))</f>
        <v>1</v>
      </c>
      <c r="D351">
        <f>IF(OR($BA4="Any",$BA4=""),1,IF('All Data'!$E351=$BA4,1,0))</f>
        <v>1</v>
      </c>
      <c r="E351">
        <f>IF(OR($BA5="Any",$BA5=""),1,IF('All Data'!$F351=$BA5,1,0))</f>
        <v>1</v>
      </c>
      <c r="F351">
        <f>IF(OR($BA6="Any",$BA6=""),1,IF('All Data'!$G351=$BA6,1,0))</f>
        <v>0</v>
      </c>
      <c r="G351">
        <f>IF(AND(OR($BA$8="",ISNUMBER(SEARCH($BA$8,'All Data'!$K351&amp;" "&amp;'All Data'!$M351))),OR($BA$9="",ISNUMBER(SEARCH($BA$9,'All Data'!$K351&amp;" "&amp;'All Data'!$M351))),OR($BA$10="",ISNUMBER(SEARCH($BA$10,'All Data'!$K351&amp;" "&amp;'All Data'!$M351))),OR($BA$11="",ISNUMBER(SEARCH($BA$11,'All Data'!$K351&amp;" "&amp;'All Data'!$M351))),OR($BA$12="",ISNUMBER(SEARCH($BA$12,'All Data'!$K351&amp;" "&amp;'All Data'!$M351))),OR($BA$13="",ISNUMBER(SEARCH($BA$13,'All Data'!$K351&amp;" "&amp;'All Data'!$M351))),OR($BA$14="",ISNUMBER(SEARCH($BA$14,'All Data'!$K351&amp;" "&amp;'All Data'!$M351))),OR($BA$15="",ISNUMBER(SEARCH($BA$15,'All Data'!$K351&amp;" "&amp;'All Data'!$M351)))),1,0)</f>
        <v>1</v>
      </c>
      <c r="H351">
        <f t="shared" si="30"/>
        <v>0</v>
      </c>
      <c r="I351">
        <f>IF(AND($H351=1,'All Data'!$C351&lt;&gt;"",COUNTIFS($H$2:H350,1,'All Data'!$C$2:$C350,'All Data'!$C351)=0),1,0)</f>
        <v>0</v>
      </c>
      <c r="J351" t="str">
        <f>IF($I351=1,SUM($I$2:I351),"")</f>
        <v/>
      </c>
      <c r="K351">
        <f t="shared" si="31"/>
        <v>0</v>
      </c>
      <c r="L351">
        <f>IF(AND($K351=1,'All Data'!$D351&lt;&gt;"",COUNTIFS($K$2:K350,1,'All Data'!$D$2:$D350,'All Data'!$D351)=0),1,0)</f>
        <v>0</v>
      </c>
      <c r="M351" t="str">
        <f>IF($L351=1,SUM($L$2:L351),"")</f>
        <v/>
      </c>
      <c r="N351">
        <f t="shared" si="32"/>
        <v>0</v>
      </c>
      <c r="O351">
        <f>IF(AND($N351=1,'All Data'!$E351&lt;&gt;"",COUNTIFS($N$2:N350,1,'All Data'!$E$2:$E350,'All Data'!$E351)=0),1,0)</f>
        <v>0</v>
      </c>
      <c r="P351" t="str">
        <f>IF($O351=1,SUM($O$2:O351),"")</f>
        <v/>
      </c>
      <c r="Q351">
        <f t="shared" si="33"/>
        <v>0</v>
      </c>
      <c r="R351">
        <f>IF(AND($Q351=1,'All Data'!$F351&lt;&gt;"",COUNTIFS($Q$2:Q350,1,'All Data'!$F$2:$F350,'All Data'!$F351)=0),1,0)</f>
        <v>0</v>
      </c>
      <c r="S351" t="str">
        <f>IF($R351=1,SUM($R$2:R351),"")</f>
        <v/>
      </c>
      <c r="T351">
        <f t="shared" si="34"/>
        <v>0</v>
      </c>
      <c r="U351">
        <f>IF(AND($T351=1,'All Data'!$G351&lt;&gt;"",COUNTIFS($T$2:T350,1,'All Data'!$G$2:$G350,'All Data'!$G351)=0),1,0)</f>
        <v>0</v>
      </c>
      <c r="V351" t="str">
        <f>IF($U351=1,SUM($U$2:U351),"")</f>
        <v/>
      </c>
      <c r="W351">
        <f t="shared" si="35"/>
        <v>0</v>
      </c>
      <c r="X351" t="str">
        <f>IF($W351=1,SUM($W$2:W351),"")</f>
        <v/>
      </c>
    </row>
    <row r="352" spans="1:24" x14ac:dyDescent="0.3">
      <c r="A352">
        <f>IF(OR($BA1="Any",$BA1=""),1,IF('All Data'!$B352=$BA1,1,0))</f>
        <v>0</v>
      </c>
      <c r="B352">
        <f>IF(OR($BA2="Any",$BA2=""),1,IF('All Data'!$C352=$BA2,1,0))</f>
        <v>1</v>
      </c>
      <c r="C352">
        <f>IF(OR($BA3="Any",$BA3=""),1,IF('All Data'!$D352=$BA3,1,0))</f>
        <v>1</v>
      </c>
      <c r="D352">
        <f>IF(OR($BA4="Any",$BA4=""),1,IF('All Data'!$E352=$BA4,1,0))</f>
        <v>1</v>
      </c>
      <c r="E352">
        <f>IF(OR($BA5="Any",$BA5=""),1,IF('All Data'!$F352=$BA5,1,0))</f>
        <v>1</v>
      </c>
      <c r="F352">
        <f>IF(OR($BA6="Any",$BA6=""),1,IF('All Data'!$G352=$BA6,1,0))</f>
        <v>0</v>
      </c>
      <c r="G352">
        <f>IF(AND(OR($BA$8="",ISNUMBER(SEARCH($BA$8,'All Data'!$K352&amp;" "&amp;'All Data'!$M352))),OR($BA$9="",ISNUMBER(SEARCH($BA$9,'All Data'!$K352&amp;" "&amp;'All Data'!$M352))),OR($BA$10="",ISNUMBER(SEARCH($BA$10,'All Data'!$K352&amp;" "&amp;'All Data'!$M352))),OR($BA$11="",ISNUMBER(SEARCH($BA$11,'All Data'!$K352&amp;" "&amp;'All Data'!$M352))),OR($BA$12="",ISNUMBER(SEARCH($BA$12,'All Data'!$K352&amp;" "&amp;'All Data'!$M352))),OR($BA$13="",ISNUMBER(SEARCH($BA$13,'All Data'!$K352&amp;" "&amp;'All Data'!$M352))),OR($BA$14="",ISNUMBER(SEARCH($BA$14,'All Data'!$K352&amp;" "&amp;'All Data'!$M352))),OR($BA$15="",ISNUMBER(SEARCH($BA$15,'All Data'!$K352&amp;" "&amp;'All Data'!$M352)))),1,0)</f>
        <v>1</v>
      </c>
      <c r="H352">
        <f t="shared" si="30"/>
        <v>0</v>
      </c>
      <c r="I352">
        <f>IF(AND($H352=1,'All Data'!$C352&lt;&gt;"",COUNTIFS($H$2:H351,1,'All Data'!$C$2:$C351,'All Data'!$C352)=0),1,0)</f>
        <v>0</v>
      </c>
      <c r="J352" t="str">
        <f>IF($I352=1,SUM($I$2:I352),"")</f>
        <v/>
      </c>
      <c r="K352">
        <f t="shared" si="31"/>
        <v>0</v>
      </c>
      <c r="L352">
        <f>IF(AND($K352=1,'All Data'!$D352&lt;&gt;"",COUNTIFS($K$2:K351,1,'All Data'!$D$2:$D351,'All Data'!$D352)=0),1,0)</f>
        <v>0</v>
      </c>
      <c r="M352" t="str">
        <f>IF($L352=1,SUM($L$2:L352),"")</f>
        <v/>
      </c>
      <c r="N352">
        <f t="shared" si="32"/>
        <v>0</v>
      </c>
      <c r="O352">
        <f>IF(AND($N352=1,'All Data'!$E352&lt;&gt;"",COUNTIFS($N$2:N351,1,'All Data'!$E$2:$E351,'All Data'!$E352)=0),1,0)</f>
        <v>0</v>
      </c>
      <c r="P352" t="str">
        <f>IF($O352=1,SUM($O$2:O352),"")</f>
        <v/>
      </c>
      <c r="Q352">
        <f t="shared" si="33"/>
        <v>0</v>
      </c>
      <c r="R352">
        <f>IF(AND($Q352=1,'All Data'!$F352&lt;&gt;"",COUNTIFS($Q$2:Q351,1,'All Data'!$F$2:$F351,'All Data'!$F352)=0),1,0)</f>
        <v>0</v>
      </c>
      <c r="S352" t="str">
        <f>IF($R352=1,SUM($R$2:R352),"")</f>
        <v/>
      </c>
      <c r="T352">
        <f t="shared" si="34"/>
        <v>0</v>
      </c>
      <c r="U352">
        <f>IF(AND($T352=1,'All Data'!$G352&lt;&gt;"",COUNTIFS($T$2:T351,1,'All Data'!$G$2:$G351,'All Data'!$G352)=0),1,0)</f>
        <v>0</v>
      </c>
      <c r="V352" t="str">
        <f>IF($U352=1,SUM($U$2:U352),"")</f>
        <v/>
      </c>
      <c r="W352">
        <f t="shared" si="35"/>
        <v>0</v>
      </c>
      <c r="X352" t="str">
        <f>IF($W352=1,SUM($W$2:W352),"")</f>
        <v/>
      </c>
    </row>
    <row r="353" spans="1:24" x14ac:dyDescent="0.3">
      <c r="A353">
        <f>IF(OR($BA1="Any",$BA1=""),1,IF('All Data'!$B353=$BA1,1,0))</f>
        <v>0</v>
      </c>
      <c r="B353">
        <f>IF(OR($BA2="Any",$BA2=""),1,IF('All Data'!$C353=$BA2,1,0))</f>
        <v>1</v>
      </c>
      <c r="C353">
        <f>IF(OR($BA3="Any",$BA3=""),1,IF('All Data'!$D353=$BA3,1,0))</f>
        <v>1</v>
      </c>
      <c r="D353">
        <f>IF(OR($BA4="Any",$BA4=""),1,IF('All Data'!$E353=$BA4,1,0))</f>
        <v>1</v>
      </c>
      <c r="E353">
        <f>IF(OR($BA5="Any",$BA5=""),1,IF('All Data'!$F353=$BA5,1,0))</f>
        <v>1</v>
      </c>
      <c r="F353">
        <f>IF(OR($BA6="Any",$BA6=""),1,IF('All Data'!$G353=$BA6,1,0))</f>
        <v>0</v>
      </c>
      <c r="G353">
        <f>IF(AND(OR($BA$8="",ISNUMBER(SEARCH($BA$8,'All Data'!$K353&amp;" "&amp;'All Data'!$M353))),OR($BA$9="",ISNUMBER(SEARCH($BA$9,'All Data'!$K353&amp;" "&amp;'All Data'!$M353))),OR($BA$10="",ISNUMBER(SEARCH($BA$10,'All Data'!$K353&amp;" "&amp;'All Data'!$M353))),OR($BA$11="",ISNUMBER(SEARCH($BA$11,'All Data'!$K353&amp;" "&amp;'All Data'!$M353))),OR($BA$12="",ISNUMBER(SEARCH($BA$12,'All Data'!$K353&amp;" "&amp;'All Data'!$M353))),OR($BA$13="",ISNUMBER(SEARCH($BA$13,'All Data'!$K353&amp;" "&amp;'All Data'!$M353))),OR($BA$14="",ISNUMBER(SEARCH($BA$14,'All Data'!$K353&amp;" "&amp;'All Data'!$M353))),OR($BA$15="",ISNUMBER(SEARCH($BA$15,'All Data'!$K353&amp;" "&amp;'All Data'!$M353)))),1,0)</f>
        <v>1</v>
      </c>
      <c r="H353">
        <f t="shared" si="30"/>
        <v>0</v>
      </c>
      <c r="I353">
        <f>IF(AND($H353=1,'All Data'!$C353&lt;&gt;"",COUNTIFS($H$2:H352,1,'All Data'!$C$2:$C352,'All Data'!$C353)=0),1,0)</f>
        <v>0</v>
      </c>
      <c r="J353" t="str">
        <f>IF($I353=1,SUM($I$2:I353),"")</f>
        <v/>
      </c>
      <c r="K353">
        <f t="shared" si="31"/>
        <v>0</v>
      </c>
      <c r="L353">
        <f>IF(AND($K353=1,'All Data'!$D353&lt;&gt;"",COUNTIFS($K$2:K352,1,'All Data'!$D$2:$D352,'All Data'!$D353)=0),1,0)</f>
        <v>0</v>
      </c>
      <c r="M353" t="str">
        <f>IF($L353=1,SUM($L$2:L353),"")</f>
        <v/>
      </c>
      <c r="N353">
        <f t="shared" si="32"/>
        <v>0</v>
      </c>
      <c r="O353">
        <f>IF(AND($N353=1,'All Data'!$E353&lt;&gt;"",COUNTIFS($N$2:N352,1,'All Data'!$E$2:$E352,'All Data'!$E353)=0),1,0)</f>
        <v>0</v>
      </c>
      <c r="P353" t="str">
        <f>IF($O353=1,SUM($O$2:O353),"")</f>
        <v/>
      </c>
      <c r="Q353">
        <f t="shared" si="33"/>
        <v>0</v>
      </c>
      <c r="R353">
        <f>IF(AND($Q353=1,'All Data'!$F353&lt;&gt;"",COUNTIFS($Q$2:Q352,1,'All Data'!$F$2:$F352,'All Data'!$F353)=0),1,0)</f>
        <v>0</v>
      </c>
      <c r="S353" t="str">
        <f>IF($R353=1,SUM($R$2:R353),"")</f>
        <v/>
      </c>
      <c r="T353">
        <f t="shared" si="34"/>
        <v>0</v>
      </c>
      <c r="U353">
        <f>IF(AND($T353=1,'All Data'!$G353&lt;&gt;"",COUNTIFS($T$2:T352,1,'All Data'!$G$2:$G352,'All Data'!$G353)=0),1,0)</f>
        <v>0</v>
      </c>
      <c r="V353" t="str">
        <f>IF($U353=1,SUM($U$2:U353),"")</f>
        <v/>
      </c>
      <c r="W353">
        <f t="shared" si="35"/>
        <v>0</v>
      </c>
      <c r="X353" t="str">
        <f>IF($W353=1,SUM($W$2:W353),"")</f>
        <v/>
      </c>
    </row>
    <row r="354" spans="1:24" x14ac:dyDescent="0.3">
      <c r="A354">
        <f>IF(OR($BA1="Any",$BA1=""),1,IF('All Data'!$B354=$BA1,1,0))</f>
        <v>0</v>
      </c>
      <c r="B354">
        <f>IF(OR($BA2="Any",$BA2=""),1,IF('All Data'!$C354=$BA2,1,0))</f>
        <v>1</v>
      </c>
      <c r="C354">
        <f>IF(OR($BA3="Any",$BA3=""),1,IF('All Data'!$D354=$BA3,1,0))</f>
        <v>1</v>
      </c>
      <c r="D354">
        <f>IF(OR($BA4="Any",$BA4=""),1,IF('All Data'!$E354=$BA4,1,0))</f>
        <v>1</v>
      </c>
      <c r="E354">
        <f>IF(OR($BA5="Any",$BA5=""),1,IF('All Data'!$F354=$BA5,1,0))</f>
        <v>1</v>
      </c>
      <c r="F354">
        <f>IF(OR($BA6="Any",$BA6=""),1,IF('All Data'!$G354=$BA6,1,0))</f>
        <v>0</v>
      </c>
      <c r="G354">
        <f>IF(AND(OR($BA$8="",ISNUMBER(SEARCH($BA$8,'All Data'!$K354&amp;" "&amp;'All Data'!$M354))),OR($BA$9="",ISNUMBER(SEARCH($BA$9,'All Data'!$K354&amp;" "&amp;'All Data'!$M354))),OR($BA$10="",ISNUMBER(SEARCH($BA$10,'All Data'!$K354&amp;" "&amp;'All Data'!$M354))),OR($BA$11="",ISNUMBER(SEARCH($BA$11,'All Data'!$K354&amp;" "&amp;'All Data'!$M354))),OR($BA$12="",ISNUMBER(SEARCH($BA$12,'All Data'!$K354&amp;" "&amp;'All Data'!$M354))),OR($BA$13="",ISNUMBER(SEARCH($BA$13,'All Data'!$K354&amp;" "&amp;'All Data'!$M354))),OR($BA$14="",ISNUMBER(SEARCH($BA$14,'All Data'!$K354&amp;" "&amp;'All Data'!$M354))),OR($BA$15="",ISNUMBER(SEARCH($BA$15,'All Data'!$K354&amp;" "&amp;'All Data'!$M354)))),1,0)</f>
        <v>1</v>
      </c>
      <c r="H354">
        <f t="shared" si="30"/>
        <v>0</v>
      </c>
      <c r="I354">
        <f>IF(AND($H354=1,'All Data'!$C354&lt;&gt;"",COUNTIFS($H$2:H353,1,'All Data'!$C$2:$C353,'All Data'!$C354)=0),1,0)</f>
        <v>0</v>
      </c>
      <c r="J354" t="str">
        <f>IF($I354=1,SUM($I$2:I354),"")</f>
        <v/>
      </c>
      <c r="K354">
        <f t="shared" si="31"/>
        <v>0</v>
      </c>
      <c r="L354">
        <f>IF(AND($K354=1,'All Data'!$D354&lt;&gt;"",COUNTIFS($K$2:K353,1,'All Data'!$D$2:$D353,'All Data'!$D354)=0),1,0)</f>
        <v>0</v>
      </c>
      <c r="M354" t="str">
        <f>IF($L354=1,SUM($L$2:L354),"")</f>
        <v/>
      </c>
      <c r="N354">
        <f t="shared" si="32"/>
        <v>0</v>
      </c>
      <c r="O354">
        <f>IF(AND($N354=1,'All Data'!$E354&lt;&gt;"",COUNTIFS($N$2:N353,1,'All Data'!$E$2:$E353,'All Data'!$E354)=0),1,0)</f>
        <v>0</v>
      </c>
      <c r="P354" t="str">
        <f>IF($O354=1,SUM($O$2:O354),"")</f>
        <v/>
      </c>
      <c r="Q354">
        <f t="shared" si="33"/>
        <v>0</v>
      </c>
      <c r="R354">
        <f>IF(AND($Q354=1,'All Data'!$F354&lt;&gt;"",COUNTIFS($Q$2:Q353,1,'All Data'!$F$2:$F353,'All Data'!$F354)=0),1,0)</f>
        <v>0</v>
      </c>
      <c r="S354" t="str">
        <f>IF($R354=1,SUM($R$2:R354),"")</f>
        <v/>
      </c>
      <c r="T354">
        <f t="shared" si="34"/>
        <v>0</v>
      </c>
      <c r="U354">
        <f>IF(AND($T354=1,'All Data'!$G354&lt;&gt;"",COUNTIFS($T$2:T353,1,'All Data'!$G$2:$G353,'All Data'!$G354)=0),1,0)</f>
        <v>0</v>
      </c>
      <c r="V354" t="str">
        <f>IF($U354=1,SUM($U$2:U354),"")</f>
        <v/>
      </c>
      <c r="W354">
        <f t="shared" si="35"/>
        <v>0</v>
      </c>
      <c r="X354" t="str">
        <f>IF($W354=1,SUM($W$2:W354),"")</f>
        <v/>
      </c>
    </row>
    <row r="355" spans="1:24" x14ac:dyDescent="0.3">
      <c r="A355">
        <f>IF(OR($BA1="Any",$BA1=""),1,IF('All Data'!$B355=$BA1,1,0))</f>
        <v>0</v>
      </c>
      <c r="B355">
        <f>IF(OR($BA2="Any",$BA2=""),1,IF('All Data'!$C355=$BA2,1,0))</f>
        <v>1</v>
      </c>
      <c r="C355">
        <f>IF(OR($BA3="Any",$BA3=""),1,IF('All Data'!$D355=$BA3,1,0))</f>
        <v>1</v>
      </c>
      <c r="D355">
        <f>IF(OR($BA4="Any",$BA4=""),1,IF('All Data'!$E355=$BA4,1,0))</f>
        <v>1</v>
      </c>
      <c r="E355">
        <f>IF(OR($BA5="Any",$BA5=""),1,IF('All Data'!$F355=$BA5,1,0))</f>
        <v>1</v>
      </c>
      <c r="F355">
        <f>IF(OR($BA6="Any",$BA6=""),1,IF('All Data'!$G355=$BA6,1,0))</f>
        <v>0</v>
      </c>
      <c r="G355">
        <f>IF(AND(OR($BA$8="",ISNUMBER(SEARCH($BA$8,'All Data'!$K355&amp;" "&amp;'All Data'!$M355))),OR($BA$9="",ISNUMBER(SEARCH($BA$9,'All Data'!$K355&amp;" "&amp;'All Data'!$M355))),OR($BA$10="",ISNUMBER(SEARCH($BA$10,'All Data'!$K355&amp;" "&amp;'All Data'!$M355))),OR($BA$11="",ISNUMBER(SEARCH($BA$11,'All Data'!$K355&amp;" "&amp;'All Data'!$M355))),OR($BA$12="",ISNUMBER(SEARCH($BA$12,'All Data'!$K355&amp;" "&amp;'All Data'!$M355))),OR($BA$13="",ISNUMBER(SEARCH($BA$13,'All Data'!$K355&amp;" "&amp;'All Data'!$M355))),OR($BA$14="",ISNUMBER(SEARCH($BA$14,'All Data'!$K355&amp;" "&amp;'All Data'!$M355))),OR($BA$15="",ISNUMBER(SEARCH($BA$15,'All Data'!$K355&amp;" "&amp;'All Data'!$M355)))),1,0)</f>
        <v>1</v>
      </c>
      <c r="H355">
        <f t="shared" si="30"/>
        <v>0</v>
      </c>
      <c r="I355">
        <f>IF(AND($H355=1,'All Data'!$C355&lt;&gt;"",COUNTIFS($H$2:H354,1,'All Data'!$C$2:$C354,'All Data'!$C355)=0),1,0)</f>
        <v>0</v>
      </c>
      <c r="J355" t="str">
        <f>IF($I355=1,SUM($I$2:I355),"")</f>
        <v/>
      </c>
      <c r="K355">
        <f t="shared" si="31"/>
        <v>0</v>
      </c>
      <c r="L355">
        <f>IF(AND($K355=1,'All Data'!$D355&lt;&gt;"",COUNTIFS($K$2:K354,1,'All Data'!$D$2:$D354,'All Data'!$D355)=0),1,0)</f>
        <v>0</v>
      </c>
      <c r="M355" t="str">
        <f>IF($L355=1,SUM($L$2:L355),"")</f>
        <v/>
      </c>
      <c r="N355">
        <f t="shared" si="32"/>
        <v>0</v>
      </c>
      <c r="O355">
        <f>IF(AND($N355=1,'All Data'!$E355&lt;&gt;"",COUNTIFS($N$2:N354,1,'All Data'!$E$2:$E354,'All Data'!$E355)=0),1,0)</f>
        <v>0</v>
      </c>
      <c r="P355" t="str">
        <f>IF($O355=1,SUM($O$2:O355),"")</f>
        <v/>
      </c>
      <c r="Q355">
        <f t="shared" si="33"/>
        <v>0</v>
      </c>
      <c r="R355">
        <f>IF(AND($Q355=1,'All Data'!$F355&lt;&gt;"",COUNTIFS($Q$2:Q354,1,'All Data'!$F$2:$F354,'All Data'!$F355)=0),1,0)</f>
        <v>0</v>
      </c>
      <c r="S355" t="str">
        <f>IF($R355=1,SUM($R$2:R355),"")</f>
        <v/>
      </c>
      <c r="T355">
        <f t="shared" si="34"/>
        <v>0</v>
      </c>
      <c r="U355">
        <f>IF(AND($T355=1,'All Data'!$G355&lt;&gt;"",COUNTIFS($T$2:T354,1,'All Data'!$G$2:$G354,'All Data'!$G355)=0),1,0)</f>
        <v>0</v>
      </c>
      <c r="V355" t="str">
        <f>IF($U355=1,SUM($U$2:U355),"")</f>
        <v/>
      </c>
      <c r="W355">
        <f t="shared" si="35"/>
        <v>0</v>
      </c>
      <c r="X355" t="str">
        <f>IF($W355=1,SUM($W$2:W355),"")</f>
        <v/>
      </c>
    </row>
    <row r="356" spans="1:24" x14ac:dyDescent="0.3">
      <c r="A356">
        <f>IF(OR($BA1="Any",$BA1=""),1,IF('All Data'!$B356=$BA1,1,0))</f>
        <v>0</v>
      </c>
      <c r="B356">
        <f>IF(OR($BA2="Any",$BA2=""),1,IF('All Data'!$C356=$BA2,1,0))</f>
        <v>1</v>
      </c>
      <c r="C356">
        <f>IF(OR($BA3="Any",$BA3=""),1,IF('All Data'!$D356=$BA3,1,0))</f>
        <v>1</v>
      </c>
      <c r="D356">
        <f>IF(OR($BA4="Any",$BA4=""),1,IF('All Data'!$E356=$BA4,1,0))</f>
        <v>1</v>
      </c>
      <c r="E356">
        <f>IF(OR($BA5="Any",$BA5=""),1,IF('All Data'!$F356=$BA5,1,0))</f>
        <v>1</v>
      </c>
      <c r="F356">
        <f>IF(OR($BA6="Any",$BA6=""),1,IF('All Data'!$G356=$BA6,1,0))</f>
        <v>1</v>
      </c>
      <c r="G356">
        <f>IF(AND(OR($BA$8="",ISNUMBER(SEARCH($BA$8,'All Data'!$K356&amp;" "&amp;'All Data'!$M356))),OR($BA$9="",ISNUMBER(SEARCH($BA$9,'All Data'!$K356&amp;" "&amp;'All Data'!$M356))),OR($BA$10="",ISNUMBER(SEARCH($BA$10,'All Data'!$K356&amp;" "&amp;'All Data'!$M356))),OR($BA$11="",ISNUMBER(SEARCH($BA$11,'All Data'!$K356&amp;" "&amp;'All Data'!$M356))),OR($BA$12="",ISNUMBER(SEARCH($BA$12,'All Data'!$K356&amp;" "&amp;'All Data'!$M356))),OR($BA$13="",ISNUMBER(SEARCH($BA$13,'All Data'!$K356&amp;" "&amp;'All Data'!$M356))),OR($BA$14="",ISNUMBER(SEARCH($BA$14,'All Data'!$K356&amp;" "&amp;'All Data'!$M356))),OR($BA$15="",ISNUMBER(SEARCH($BA$15,'All Data'!$K356&amp;" "&amp;'All Data'!$M356)))),1,0)</f>
        <v>1</v>
      </c>
      <c r="H356">
        <f t="shared" si="30"/>
        <v>0</v>
      </c>
      <c r="I356">
        <f>IF(AND($H356=1,'All Data'!$C356&lt;&gt;"",COUNTIFS($H$2:H355,1,'All Data'!$C$2:$C355,'All Data'!$C356)=0),1,0)</f>
        <v>0</v>
      </c>
      <c r="J356" t="str">
        <f>IF($I356=1,SUM($I$2:I356),"")</f>
        <v/>
      </c>
      <c r="K356">
        <f t="shared" si="31"/>
        <v>0</v>
      </c>
      <c r="L356">
        <f>IF(AND($K356=1,'All Data'!$D356&lt;&gt;"",COUNTIFS($K$2:K355,1,'All Data'!$D$2:$D355,'All Data'!$D356)=0),1,0)</f>
        <v>0</v>
      </c>
      <c r="M356" t="str">
        <f>IF($L356=1,SUM($L$2:L356),"")</f>
        <v/>
      </c>
      <c r="N356">
        <f t="shared" si="32"/>
        <v>0</v>
      </c>
      <c r="O356">
        <f>IF(AND($N356=1,'All Data'!$E356&lt;&gt;"",COUNTIFS($N$2:N355,1,'All Data'!$E$2:$E355,'All Data'!$E356)=0),1,0)</f>
        <v>0</v>
      </c>
      <c r="P356" t="str">
        <f>IF($O356=1,SUM($O$2:O356),"")</f>
        <v/>
      </c>
      <c r="Q356">
        <f t="shared" si="33"/>
        <v>0</v>
      </c>
      <c r="R356">
        <f>IF(AND($Q356=1,'All Data'!$F356&lt;&gt;"",COUNTIFS($Q$2:Q355,1,'All Data'!$F$2:$F355,'All Data'!$F356)=0),1,0)</f>
        <v>0</v>
      </c>
      <c r="S356" t="str">
        <f>IF($R356=1,SUM($R$2:R356),"")</f>
        <v/>
      </c>
      <c r="T356">
        <f t="shared" si="34"/>
        <v>0</v>
      </c>
      <c r="U356">
        <f>IF(AND($T356=1,'All Data'!$G356&lt;&gt;"",COUNTIFS($T$2:T355,1,'All Data'!$G$2:$G355,'All Data'!$G356)=0),1,0)</f>
        <v>0</v>
      </c>
      <c r="V356" t="str">
        <f>IF($U356=1,SUM($U$2:U356),"")</f>
        <v/>
      </c>
      <c r="W356">
        <f t="shared" si="35"/>
        <v>0</v>
      </c>
      <c r="X356" t="str">
        <f>IF($W356=1,SUM($W$2:W356),"")</f>
        <v/>
      </c>
    </row>
    <row r="357" spans="1:24" x14ac:dyDescent="0.3">
      <c r="A357">
        <f>IF(OR($BA1="Any",$BA1=""),1,IF('All Data'!$B357=$BA1,1,0))</f>
        <v>0</v>
      </c>
      <c r="B357">
        <f>IF(OR($BA2="Any",$BA2=""),1,IF('All Data'!$C357=$BA2,1,0))</f>
        <v>1</v>
      </c>
      <c r="C357">
        <f>IF(OR($BA3="Any",$BA3=""),1,IF('All Data'!$D357=$BA3,1,0))</f>
        <v>1</v>
      </c>
      <c r="D357">
        <f>IF(OR($BA4="Any",$BA4=""),1,IF('All Data'!$E357=$BA4,1,0))</f>
        <v>1</v>
      </c>
      <c r="E357">
        <f>IF(OR($BA5="Any",$BA5=""),1,IF('All Data'!$F357=$BA5,1,0))</f>
        <v>1</v>
      </c>
      <c r="F357">
        <f>IF(OR($BA6="Any",$BA6=""),1,IF('All Data'!$G357=$BA6,1,0))</f>
        <v>0</v>
      </c>
      <c r="G357">
        <f>IF(AND(OR($BA$8="",ISNUMBER(SEARCH($BA$8,'All Data'!$K357&amp;" "&amp;'All Data'!$M357))),OR($BA$9="",ISNUMBER(SEARCH($BA$9,'All Data'!$K357&amp;" "&amp;'All Data'!$M357))),OR($BA$10="",ISNUMBER(SEARCH($BA$10,'All Data'!$K357&amp;" "&amp;'All Data'!$M357))),OR($BA$11="",ISNUMBER(SEARCH($BA$11,'All Data'!$K357&amp;" "&amp;'All Data'!$M357))),OR($BA$12="",ISNUMBER(SEARCH($BA$12,'All Data'!$K357&amp;" "&amp;'All Data'!$M357))),OR($BA$13="",ISNUMBER(SEARCH($BA$13,'All Data'!$K357&amp;" "&amp;'All Data'!$M357))),OR($BA$14="",ISNUMBER(SEARCH($BA$14,'All Data'!$K357&amp;" "&amp;'All Data'!$M357))),OR($BA$15="",ISNUMBER(SEARCH($BA$15,'All Data'!$K357&amp;" "&amp;'All Data'!$M357)))),1,0)</f>
        <v>1</v>
      </c>
      <c r="H357">
        <f t="shared" si="30"/>
        <v>0</v>
      </c>
      <c r="I357">
        <f>IF(AND($H357=1,'All Data'!$C357&lt;&gt;"",COUNTIFS($H$2:H356,1,'All Data'!$C$2:$C356,'All Data'!$C357)=0),1,0)</f>
        <v>0</v>
      </c>
      <c r="J357" t="str">
        <f>IF($I357=1,SUM($I$2:I357),"")</f>
        <v/>
      </c>
      <c r="K357">
        <f t="shared" si="31"/>
        <v>0</v>
      </c>
      <c r="L357">
        <f>IF(AND($K357=1,'All Data'!$D357&lt;&gt;"",COUNTIFS($K$2:K356,1,'All Data'!$D$2:$D356,'All Data'!$D357)=0),1,0)</f>
        <v>0</v>
      </c>
      <c r="M357" t="str">
        <f>IF($L357=1,SUM($L$2:L357),"")</f>
        <v/>
      </c>
      <c r="N357">
        <f t="shared" si="32"/>
        <v>0</v>
      </c>
      <c r="O357">
        <f>IF(AND($N357=1,'All Data'!$E357&lt;&gt;"",COUNTIFS($N$2:N356,1,'All Data'!$E$2:$E356,'All Data'!$E357)=0),1,0)</f>
        <v>0</v>
      </c>
      <c r="P357" t="str">
        <f>IF($O357=1,SUM($O$2:O357),"")</f>
        <v/>
      </c>
      <c r="Q357">
        <f t="shared" si="33"/>
        <v>0</v>
      </c>
      <c r="R357">
        <f>IF(AND($Q357=1,'All Data'!$F357&lt;&gt;"",COUNTIFS($Q$2:Q356,1,'All Data'!$F$2:$F356,'All Data'!$F357)=0),1,0)</f>
        <v>0</v>
      </c>
      <c r="S357" t="str">
        <f>IF($R357=1,SUM($R$2:R357),"")</f>
        <v/>
      </c>
      <c r="T357">
        <f t="shared" si="34"/>
        <v>0</v>
      </c>
      <c r="U357">
        <f>IF(AND($T357=1,'All Data'!$G357&lt;&gt;"",COUNTIFS($T$2:T356,1,'All Data'!$G$2:$G356,'All Data'!$G357)=0),1,0)</f>
        <v>0</v>
      </c>
      <c r="V357" t="str">
        <f>IF($U357=1,SUM($U$2:U357),"")</f>
        <v/>
      </c>
      <c r="W357">
        <f t="shared" si="35"/>
        <v>0</v>
      </c>
      <c r="X357" t="str">
        <f>IF($W357=1,SUM($W$2:W357),"")</f>
        <v/>
      </c>
    </row>
    <row r="358" spans="1:24" x14ac:dyDescent="0.3">
      <c r="A358">
        <f>IF(OR($BA1="Any",$BA1=""),1,IF('All Data'!$B358=$BA1,1,0))</f>
        <v>0</v>
      </c>
      <c r="B358">
        <f>IF(OR($BA2="Any",$BA2=""),1,IF('All Data'!$C358=$BA2,1,0))</f>
        <v>1</v>
      </c>
      <c r="C358">
        <f>IF(OR($BA3="Any",$BA3=""),1,IF('All Data'!$D358=$BA3,1,0))</f>
        <v>1</v>
      </c>
      <c r="D358">
        <f>IF(OR($BA4="Any",$BA4=""),1,IF('All Data'!$E358=$BA4,1,0))</f>
        <v>1</v>
      </c>
      <c r="E358">
        <f>IF(OR($BA5="Any",$BA5=""),1,IF('All Data'!$F358=$BA5,1,0))</f>
        <v>1</v>
      </c>
      <c r="F358">
        <f>IF(OR($BA6="Any",$BA6=""),1,IF('All Data'!$G358=$BA6,1,0))</f>
        <v>0</v>
      </c>
      <c r="G358">
        <f>IF(AND(OR($BA$8="",ISNUMBER(SEARCH($BA$8,'All Data'!$K358&amp;" "&amp;'All Data'!$M358))),OR($BA$9="",ISNUMBER(SEARCH($BA$9,'All Data'!$K358&amp;" "&amp;'All Data'!$M358))),OR($BA$10="",ISNUMBER(SEARCH($BA$10,'All Data'!$K358&amp;" "&amp;'All Data'!$M358))),OR($BA$11="",ISNUMBER(SEARCH($BA$11,'All Data'!$K358&amp;" "&amp;'All Data'!$M358))),OR($BA$12="",ISNUMBER(SEARCH($BA$12,'All Data'!$K358&amp;" "&amp;'All Data'!$M358))),OR($BA$13="",ISNUMBER(SEARCH($BA$13,'All Data'!$K358&amp;" "&amp;'All Data'!$M358))),OR($BA$14="",ISNUMBER(SEARCH($BA$14,'All Data'!$K358&amp;" "&amp;'All Data'!$M358))),OR($BA$15="",ISNUMBER(SEARCH($BA$15,'All Data'!$K358&amp;" "&amp;'All Data'!$M358)))),1,0)</f>
        <v>1</v>
      </c>
      <c r="H358">
        <f t="shared" si="30"/>
        <v>0</v>
      </c>
      <c r="I358">
        <f>IF(AND($H358=1,'All Data'!$C358&lt;&gt;"",COUNTIFS($H$2:H357,1,'All Data'!$C$2:$C357,'All Data'!$C358)=0),1,0)</f>
        <v>0</v>
      </c>
      <c r="J358" t="str">
        <f>IF($I358=1,SUM($I$2:I358),"")</f>
        <v/>
      </c>
      <c r="K358">
        <f t="shared" si="31"/>
        <v>0</v>
      </c>
      <c r="L358">
        <f>IF(AND($K358=1,'All Data'!$D358&lt;&gt;"",COUNTIFS($K$2:K357,1,'All Data'!$D$2:$D357,'All Data'!$D358)=0),1,0)</f>
        <v>0</v>
      </c>
      <c r="M358" t="str">
        <f>IF($L358=1,SUM($L$2:L358),"")</f>
        <v/>
      </c>
      <c r="N358">
        <f t="shared" si="32"/>
        <v>0</v>
      </c>
      <c r="O358">
        <f>IF(AND($N358=1,'All Data'!$E358&lt;&gt;"",COUNTIFS($N$2:N357,1,'All Data'!$E$2:$E357,'All Data'!$E358)=0),1,0)</f>
        <v>0</v>
      </c>
      <c r="P358" t="str">
        <f>IF($O358=1,SUM($O$2:O358),"")</f>
        <v/>
      </c>
      <c r="Q358">
        <f t="shared" si="33"/>
        <v>0</v>
      </c>
      <c r="R358">
        <f>IF(AND($Q358=1,'All Data'!$F358&lt;&gt;"",COUNTIFS($Q$2:Q357,1,'All Data'!$F$2:$F357,'All Data'!$F358)=0),1,0)</f>
        <v>0</v>
      </c>
      <c r="S358" t="str">
        <f>IF($R358=1,SUM($R$2:R358),"")</f>
        <v/>
      </c>
      <c r="T358">
        <f t="shared" si="34"/>
        <v>0</v>
      </c>
      <c r="U358">
        <f>IF(AND($T358=1,'All Data'!$G358&lt;&gt;"",COUNTIFS($T$2:T357,1,'All Data'!$G$2:$G357,'All Data'!$G358)=0),1,0)</f>
        <v>0</v>
      </c>
      <c r="V358" t="str">
        <f>IF($U358=1,SUM($U$2:U358),"")</f>
        <v/>
      </c>
      <c r="W358">
        <f t="shared" si="35"/>
        <v>0</v>
      </c>
      <c r="X358" t="str">
        <f>IF($W358=1,SUM($W$2:W358),"")</f>
        <v/>
      </c>
    </row>
    <row r="359" spans="1:24" x14ac:dyDescent="0.3">
      <c r="A359">
        <f>IF(OR($BA1="Any",$BA1=""),1,IF('All Data'!$B359=$BA1,1,0))</f>
        <v>0</v>
      </c>
      <c r="B359">
        <f>IF(OR($BA2="Any",$BA2=""),1,IF('All Data'!$C359=$BA2,1,0))</f>
        <v>1</v>
      </c>
      <c r="C359">
        <f>IF(OR($BA3="Any",$BA3=""),1,IF('All Data'!$D359=$BA3,1,0))</f>
        <v>1</v>
      </c>
      <c r="D359">
        <f>IF(OR($BA4="Any",$BA4=""),1,IF('All Data'!$E359=$BA4,1,0))</f>
        <v>1</v>
      </c>
      <c r="E359">
        <f>IF(OR($BA5="Any",$BA5=""),1,IF('All Data'!$F359=$BA5,1,0))</f>
        <v>1</v>
      </c>
      <c r="F359">
        <f>IF(OR($BA6="Any",$BA6=""),1,IF('All Data'!$G359=$BA6,1,0))</f>
        <v>0</v>
      </c>
      <c r="G359">
        <f>IF(AND(OR($BA$8="",ISNUMBER(SEARCH($BA$8,'All Data'!$K359&amp;" "&amp;'All Data'!$M359))),OR($BA$9="",ISNUMBER(SEARCH($BA$9,'All Data'!$K359&amp;" "&amp;'All Data'!$M359))),OR($BA$10="",ISNUMBER(SEARCH($BA$10,'All Data'!$K359&amp;" "&amp;'All Data'!$M359))),OR($BA$11="",ISNUMBER(SEARCH($BA$11,'All Data'!$K359&amp;" "&amp;'All Data'!$M359))),OR($BA$12="",ISNUMBER(SEARCH($BA$12,'All Data'!$K359&amp;" "&amp;'All Data'!$M359))),OR($BA$13="",ISNUMBER(SEARCH($BA$13,'All Data'!$K359&amp;" "&amp;'All Data'!$M359))),OR($BA$14="",ISNUMBER(SEARCH($BA$14,'All Data'!$K359&amp;" "&amp;'All Data'!$M359))),OR($BA$15="",ISNUMBER(SEARCH($BA$15,'All Data'!$K359&amp;" "&amp;'All Data'!$M359)))),1,0)</f>
        <v>1</v>
      </c>
      <c r="H359">
        <f t="shared" si="30"/>
        <v>0</v>
      </c>
      <c r="I359">
        <f>IF(AND($H359=1,'All Data'!$C359&lt;&gt;"",COUNTIFS($H$2:H358,1,'All Data'!$C$2:$C358,'All Data'!$C359)=0),1,0)</f>
        <v>0</v>
      </c>
      <c r="J359" t="str">
        <f>IF($I359=1,SUM($I$2:I359),"")</f>
        <v/>
      </c>
      <c r="K359">
        <f t="shared" si="31"/>
        <v>0</v>
      </c>
      <c r="L359">
        <f>IF(AND($K359=1,'All Data'!$D359&lt;&gt;"",COUNTIFS($K$2:K358,1,'All Data'!$D$2:$D358,'All Data'!$D359)=0),1,0)</f>
        <v>0</v>
      </c>
      <c r="M359" t="str">
        <f>IF($L359=1,SUM($L$2:L359),"")</f>
        <v/>
      </c>
      <c r="N359">
        <f t="shared" si="32"/>
        <v>0</v>
      </c>
      <c r="O359">
        <f>IF(AND($N359=1,'All Data'!$E359&lt;&gt;"",COUNTIFS($N$2:N358,1,'All Data'!$E$2:$E358,'All Data'!$E359)=0),1,0)</f>
        <v>0</v>
      </c>
      <c r="P359" t="str">
        <f>IF($O359=1,SUM($O$2:O359),"")</f>
        <v/>
      </c>
      <c r="Q359">
        <f t="shared" si="33"/>
        <v>0</v>
      </c>
      <c r="R359">
        <f>IF(AND($Q359=1,'All Data'!$F359&lt;&gt;"",COUNTIFS($Q$2:Q358,1,'All Data'!$F$2:$F358,'All Data'!$F359)=0),1,0)</f>
        <v>0</v>
      </c>
      <c r="S359" t="str">
        <f>IF($R359=1,SUM($R$2:R359),"")</f>
        <v/>
      </c>
      <c r="T359">
        <f t="shared" si="34"/>
        <v>0</v>
      </c>
      <c r="U359">
        <f>IF(AND($T359=1,'All Data'!$G359&lt;&gt;"",COUNTIFS($T$2:T358,1,'All Data'!$G$2:$G358,'All Data'!$G359)=0),1,0)</f>
        <v>0</v>
      </c>
      <c r="V359" t="str">
        <f>IF($U359=1,SUM($U$2:U359),"")</f>
        <v/>
      </c>
      <c r="W359">
        <f t="shared" si="35"/>
        <v>0</v>
      </c>
      <c r="X359" t="str">
        <f>IF($W359=1,SUM($W$2:W359),"")</f>
        <v/>
      </c>
    </row>
    <row r="360" spans="1:24" x14ac:dyDescent="0.3">
      <c r="A360">
        <f>IF(OR($BA1="Any",$BA1=""),1,IF('All Data'!$B360=$BA1,1,0))</f>
        <v>0</v>
      </c>
      <c r="B360">
        <f>IF(OR($BA2="Any",$BA2=""),1,IF('All Data'!$C360=$BA2,1,0))</f>
        <v>1</v>
      </c>
      <c r="C360">
        <f>IF(OR($BA3="Any",$BA3=""),1,IF('All Data'!$D360=$BA3,1,0))</f>
        <v>1</v>
      </c>
      <c r="D360">
        <f>IF(OR($BA4="Any",$BA4=""),1,IF('All Data'!$E360=$BA4,1,0))</f>
        <v>1</v>
      </c>
      <c r="E360">
        <f>IF(OR($BA5="Any",$BA5=""),1,IF('All Data'!$F360=$BA5,1,0))</f>
        <v>1</v>
      </c>
      <c r="F360">
        <f>IF(OR($BA6="Any",$BA6=""),1,IF('All Data'!$G360=$BA6,1,0))</f>
        <v>0</v>
      </c>
      <c r="G360">
        <f>IF(AND(OR($BA$8="",ISNUMBER(SEARCH($BA$8,'All Data'!$K360&amp;" "&amp;'All Data'!$M360))),OR($BA$9="",ISNUMBER(SEARCH($BA$9,'All Data'!$K360&amp;" "&amp;'All Data'!$M360))),OR($BA$10="",ISNUMBER(SEARCH($BA$10,'All Data'!$K360&amp;" "&amp;'All Data'!$M360))),OR($BA$11="",ISNUMBER(SEARCH($BA$11,'All Data'!$K360&amp;" "&amp;'All Data'!$M360))),OR($BA$12="",ISNUMBER(SEARCH($BA$12,'All Data'!$K360&amp;" "&amp;'All Data'!$M360))),OR($BA$13="",ISNUMBER(SEARCH($BA$13,'All Data'!$K360&amp;" "&amp;'All Data'!$M360))),OR($BA$14="",ISNUMBER(SEARCH($BA$14,'All Data'!$K360&amp;" "&amp;'All Data'!$M360))),OR($BA$15="",ISNUMBER(SEARCH($BA$15,'All Data'!$K360&amp;" "&amp;'All Data'!$M360)))),1,0)</f>
        <v>1</v>
      </c>
      <c r="H360">
        <f t="shared" si="30"/>
        <v>0</v>
      </c>
      <c r="I360">
        <f>IF(AND($H360=1,'All Data'!$C360&lt;&gt;"",COUNTIFS($H$2:H359,1,'All Data'!$C$2:$C359,'All Data'!$C360)=0),1,0)</f>
        <v>0</v>
      </c>
      <c r="J360" t="str">
        <f>IF($I360=1,SUM($I$2:I360),"")</f>
        <v/>
      </c>
      <c r="K360">
        <f t="shared" si="31"/>
        <v>0</v>
      </c>
      <c r="L360">
        <f>IF(AND($K360=1,'All Data'!$D360&lt;&gt;"",COUNTIFS($K$2:K359,1,'All Data'!$D$2:$D359,'All Data'!$D360)=0),1,0)</f>
        <v>0</v>
      </c>
      <c r="M360" t="str">
        <f>IF($L360=1,SUM($L$2:L360),"")</f>
        <v/>
      </c>
      <c r="N360">
        <f t="shared" si="32"/>
        <v>0</v>
      </c>
      <c r="O360">
        <f>IF(AND($N360=1,'All Data'!$E360&lt;&gt;"",COUNTIFS($N$2:N359,1,'All Data'!$E$2:$E359,'All Data'!$E360)=0),1,0)</f>
        <v>0</v>
      </c>
      <c r="P360" t="str">
        <f>IF($O360=1,SUM($O$2:O360),"")</f>
        <v/>
      </c>
      <c r="Q360">
        <f t="shared" si="33"/>
        <v>0</v>
      </c>
      <c r="R360">
        <f>IF(AND($Q360=1,'All Data'!$F360&lt;&gt;"",COUNTIFS($Q$2:Q359,1,'All Data'!$F$2:$F359,'All Data'!$F360)=0),1,0)</f>
        <v>0</v>
      </c>
      <c r="S360" t="str">
        <f>IF($R360=1,SUM($R$2:R360),"")</f>
        <v/>
      </c>
      <c r="T360">
        <f t="shared" si="34"/>
        <v>0</v>
      </c>
      <c r="U360">
        <f>IF(AND($T360=1,'All Data'!$G360&lt;&gt;"",COUNTIFS($T$2:T359,1,'All Data'!$G$2:$G359,'All Data'!$G360)=0),1,0)</f>
        <v>0</v>
      </c>
      <c r="V360" t="str">
        <f>IF($U360=1,SUM($U$2:U360),"")</f>
        <v/>
      </c>
      <c r="W360">
        <f t="shared" si="35"/>
        <v>0</v>
      </c>
      <c r="X360" t="str">
        <f>IF($W360=1,SUM($W$2:W360),"")</f>
        <v/>
      </c>
    </row>
    <row r="361" spans="1:24" x14ac:dyDescent="0.3">
      <c r="A361">
        <f>IF(OR($BA1="Any",$BA1=""),1,IF('All Data'!$B361=$BA1,1,0))</f>
        <v>0</v>
      </c>
      <c r="B361">
        <f>IF(OR($BA2="Any",$BA2=""),1,IF('All Data'!$C361=$BA2,1,0))</f>
        <v>1</v>
      </c>
      <c r="C361">
        <f>IF(OR($BA3="Any",$BA3=""),1,IF('All Data'!$D361=$BA3,1,0))</f>
        <v>1</v>
      </c>
      <c r="D361">
        <f>IF(OR($BA4="Any",$BA4=""),1,IF('All Data'!$E361=$BA4,1,0))</f>
        <v>1</v>
      </c>
      <c r="E361">
        <f>IF(OR($BA5="Any",$BA5=""),1,IF('All Data'!$F361=$BA5,1,0))</f>
        <v>1</v>
      </c>
      <c r="F361">
        <f>IF(OR($BA6="Any",$BA6=""),1,IF('All Data'!$G361=$BA6,1,0))</f>
        <v>0</v>
      </c>
      <c r="G361">
        <f>IF(AND(OR($BA$8="",ISNUMBER(SEARCH($BA$8,'All Data'!$K361&amp;" "&amp;'All Data'!$M361))),OR($BA$9="",ISNUMBER(SEARCH($BA$9,'All Data'!$K361&amp;" "&amp;'All Data'!$M361))),OR($BA$10="",ISNUMBER(SEARCH($BA$10,'All Data'!$K361&amp;" "&amp;'All Data'!$M361))),OR($BA$11="",ISNUMBER(SEARCH($BA$11,'All Data'!$K361&amp;" "&amp;'All Data'!$M361))),OR($BA$12="",ISNUMBER(SEARCH($BA$12,'All Data'!$K361&amp;" "&amp;'All Data'!$M361))),OR($BA$13="",ISNUMBER(SEARCH($BA$13,'All Data'!$K361&amp;" "&amp;'All Data'!$M361))),OR($BA$14="",ISNUMBER(SEARCH($BA$14,'All Data'!$K361&amp;" "&amp;'All Data'!$M361))),OR($BA$15="",ISNUMBER(SEARCH($BA$15,'All Data'!$K361&amp;" "&amp;'All Data'!$M361)))),1,0)</f>
        <v>1</v>
      </c>
      <c r="H361">
        <f t="shared" si="30"/>
        <v>0</v>
      </c>
      <c r="I361">
        <f>IF(AND($H361=1,'All Data'!$C361&lt;&gt;"",COUNTIFS($H$2:H360,1,'All Data'!$C$2:$C360,'All Data'!$C361)=0),1,0)</f>
        <v>0</v>
      </c>
      <c r="J361" t="str">
        <f>IF($I361=1,SUM($I$2:I361),"")</f>
        <v/>
      </c>
      <c r="K361">
        <f t="shared" si="31"/>
        <v>0</v>
      </c>
      <c r="L361">
        <f>IF(AND($K361=1,'All Data'!$D361&lt;&gt;"",COUNTIFS($K$2:K360,1,'All Data'!$D$2:$D360,'All Data'!$D361)=0),1,0)</f>
        <v>0</v>
      </c>
      <c r="M361" t="str">
        <f>IF($L361=1,SUM($L$2:L361),"")</f>
        <v/>
      </c>
      <c r="N361">
        <f t="shared" si="32"/>
        <v>0</v>
      </c>
      <c r="O361">
        <f>IF(AND($N361=1,'All Data'!$E361&lt;&gt;"",COUNTIFS($N$2:N360,1,'All Data'!$E$2:$E360,'All Data'!$E361)=0),1,0)</f>
        <v>0</v>
      </c>
      <c r="P361" t="str">
        <f>IF($O361=1,SUM($O$2:O361),"")</f>
        <v/>
      </c>
      <c r="Q361">
        <f t="shared" si="33"/>
        <v>0</v>
      </c>
      <c r="R361">
        <f>IF(AND($Q361=1,'All Data'!$F361&lt;&gt;"",COUNTIFS($Q$2:Q360,1,'All Data'!$F$2:$F360,'All Data'!$F361)=0),1,0)</f>
        <v>0</v>
      </c>
      <c r="S361" t="str">
        <f>IF($R361=1,SUM($R$2:R361),"")</f>
        <v/>
      </c>
      <c r="T361">
        <f t="shared" si="34"/>
        <v>0</v>
      </c>
      <c r="U361">
        <f>IF(AND($T361=1,'All Data'!$G361&lt;&gt;"",COUNTIFS($T$2:T360,1,'All Data'!$G$2:$G360,'All Data'!$G361)=0),1,0)</f>
        <v>0</v>
      </c>
      <c r="V361" t="str">
        <f>IF($U361=1,SUM($U$2:U361),"")</f>
        <v/>
      </c>
      <c r="W361">
        <f t="shared" si="35"/>
        <v>0</v>
      </c>
      <c r="X361" t="str">
        <f>IF($W361=1,SUM($W$2:W361),"")</f>
        <v/>
      </c>
    </row>
    <row r="362" spans="1:24" x14ac:dyDescent="0.3">
      <c r="A362">
        <f>IF(OR($BA1="Any",$BA1=""),1,IF('All Data'!$B362=$BA1,1,0))</f>
        <v>0</v>
      </c>
      <c r="B362">
        <f>IF(OR($BA2="Any",$BA2=""),1,IF('All Data'!$C362=$BA2,1,0))</f>
        <v>1</v>
      </c>
      <c r="C362">
        <f>IF(OR($BA3="Any",$BA3=""),1,IF('All Data'!$D362=$BA3,1,0))</f>
        <v>1</v>
      </c>
      <c r="D362">
        <f>IF(OR($BA4="Any",$BA4=""),1,IF('All Data'!$E362=$BA4,1,0))</f>
        <v>1</v>
      </c>
      <c r="E362">
        <f>IF(OR($BA5="Any",$BA5=""),1,IF('All Data'!$F362=$BA5,1,0))</f>
        <v>1</v>
      </c>
      <c r="F362">
        <f>IF(OR($BA6="Any",$BA6=""),1,IF('All Data'!$G362=$BA6,1,0))</f>
        <v>0</v>
      </c>
      <c r="G362">
        <f>IF(AND(OR($BA$8="",ISNUMBER(SEARCH($BA$8,'All Data'!$K362&amp;" "&amp;'All Data'!$M362))),OR($BA$9="",ISNUMBER(SEARCH($BA$9,'All Data'!$K362&amp;" "&amp;'All Data'!$M362))),OR($BA$10="",ISNUMBER(SEARCH($BA$10,'All Data'!$K362&amp;" "&amp;'All Data'!$M362))),OR($BA$11="",ISNUMBER(SEARCH($BA$11,'All Data'!$K362&amp;" "&amp;'All Data'!$M362))),OR($BA$12="",ISNUMBER(SEARCH($BA$12,'All Data'!$K362&amp;" "&amp;'All Data'!$M362))),OR($BA$13="",ISNUMBER(SEARCH($BA$13,'All Data'!$K362&amp;" "&amp;'All Data'!$M362))),OR($BA$14="",ISNUMBER(SEARCH($BA$14,'All Data'!$K362&amp;" "&amp;'All Data'!$M362))),OR($BA$15="",ISNUMBER(SEARCH($BA$15,'All Data'!$K362&amp;" "&amp;'All Data'!$M362)))),1,0)</f>
        <v>1</v>
      </c>
      <c r="H362">
        <f t="shared" si="30"/>
        <v>0</v>
      </c>
      <c r="I362">
        <f>IF(AND($H362=1,'All Data'!$C362&lt;&gt;"",COUNTIFS($H$2:H361,1,'All Data'!$C$2:$C361,'All Data'!$C362)=0),1,0)</f>
        <v>0</v>
      </c>
      <c r="J362" t="str">
        <f>IF($I362=1,SUM($I$2:I362),"")</f>
        <v/>
      </c>
      <c r="K362">
        <f t="shared" si="31"/>
        <v>0</v>
      </c>
      <c r="L362">
        <f>IF(AND($K362=1,'All Data'!$D362&lt;&gt;"",COUNTIFS($K$2:K361,1,'All Data'!$D$2:$D361,'All Data'!$D362)=0),1,0)</f>
        <v>0</v>
      </c>
      <c r="M362" t="str">
        <f>IF($L362=1,SUM($L$2:L362),"")</f>
        <v/>
      </c>
      <c r="N362">
        <f t="shared" si="32"/>
        <v>0</v>
      </c>
      <c r="O362">
        <f>IF(AND($N362=1,'All Data'!$E362&lt;&gt;"",COUNTIFS($N$2:N361,1,'All Data'!$E$2:$E361,'All Data'!$E362)=0),1,0)</f>
        <v>0</v>
      </c>
      <c r="P362" t="str">
        <f>IF($O362=1,SUM($O$2:O362),"")</f>
        <v/>
      </c>
      <c r="Q362">
        <f t="shared" si="33"/>
        <v>0</v>
      </c>
      <c r="R362">
        <f>IF(AND($Q362=1,'All Data'!$F362&lt;&gt;"",COUNTIFS($Q$2:Q361,1,'All Data'!$F$2:$F361,'All Data'!$F362)=0),1,0)</f>
        <v>0</v>
      </c>
      <c r="S362" t="str">
        <f>IF($R362=1,SUM($R$2:R362),"")</f>
        <v/>
      </c>
      <c r="T362">
        <f t="shared" si="34"/>
        <v>0</v>
      </c>
      <c r="U362">
        <f>IF(AND($T362=1,'All Data'!$G362&lt;&gt;"",COUNTIFS($T$2:T361,1,'All Data'!$G$2:$G361,'All Data'!$G362)=0),1,0)</f>
        <v>0</v>
      </c>
      <c r="V362" t="str">
        <f>IF($U362=1,SUM($U$2:U362),"")</f>
        <v/>
      </c>
      <c r="W362">
        <f t="shared" si="35"/>
        <v>0</v>
      </c>
      <c r="X362" t="str">
        <f>IF($W362=1,SUM($W$2:W362),"")</f>
        <v/>
      </c>
    </row>
    <row r="363" spans="1:24" x14ac:dyDescent="0.3">
      <c r="A363">
        <f>IF(OR($BA1="Any",$BA1=""),1,IF('All Data'!$B363=$BA1,1,0))</f>
        <v>0</v>
      </c>
      <c r="B363">
        <f>IF(OR($BA2="Any",$BA2=""),1,IF('All Data'!$C363=$BA2,1,0))</f>
        <v>1</v>
      </c>
      <c r="C363">
        <f>IF(OR($BA3="Any",$BA3=""),1,IF('All Data'!$D363=$BA3,1,0))</f>
        <v>1</v>
      </c>
      <c r="D363">
        <f>IF(OR($BA4="Any",$BA4=""),1,IF('All Data'!$E363=$BA4,1,0))</f>
        <v>1</v>
      </c>
      <c r="E363">
        <f>IF(OR($BA5="Any",$BA5=""),1,IF('All Data'!$F363=$BA5,1,0))</f>
        <v>1</v>
      </c>
      <c r="F363">
        <f>IF(OR($BA6="Any",$BA6=""),1,IF('All Data'!$G363=$BA6,1,0))</f>
        <v>1</v>
      </c>
      <c r="G363">
        <f>IF(AND(OR($BA$8="",ISNUMBER(SEARCH($BA$8,'All Data'!$K363&amp;" "&amp;'All Data'!$M363))),OR($BA$9="",ISNUMBER(SEARCH($BA$9,'All Data'!$K363&amp;" "&amp;'All Data'!$M363))),OR($BA$10="",ISNUMBER(SEARCH($BA$10,'All Data'!$K363&amp;" "&amp;'All Data'!$M363))),OR($BA$11="",ISNUMBER(SEARCH($BA$11,'All Data'!$K363&amp;" "&amp;'All Data'!$M363))),OR($BA$12="",ISNUMBER(SEARCH($BA$12,'All Data'!$K363&amp;" "&amp;'All Data'!$M363))),OR($BA$13="",ISNUMBER(SEARCH($BA$13,'All Data'!$K363&amp;" "&amp;'All Data'!$M363))),OR($BA$14="",ISNUMBER(SEARCH($BA$14,'All Data'!$K363&amp;" "&amp;'All Data'!$M363))),OR($BA$15="",ISNUMBER(SEARCH($BA$15,'All Data'!$K363&amp;" "&amp;'All Data'!$M363)))),1,0)</f>
        <v>1</v>
      </c>
      <c r="H363">
        <f t="shared" si="30"/>
        <v>0</v>
      </c>
      <c r="I363">
        <f>IF(AND($H363=1,'All Data'!$C363&lt;&gt;"",COUNTIFS($H$2:H362,1,'All Data'!$C$2:$C362,'All Data'!$C363)=0),1,0)</f>
        <v>0</v>
      </c>
      <c r="J363" t="str">
        <f>IF($I363=1,SUM($I$2:I363),"")</f>
        <v/>
      </c>
      <c r="K363">
        <f t="shared" si="31"/>
        <v>0</v>
      </c>
      <c r="L363">
        <f>IF(AND($K363=1,'All Data'!$D363&lt;&gt;"",COUNTIFS($K$2:K362,1,'All Data'!$D$2:$D362,'All Data'!$D363)=0),1,0)</f>
        <v>0</v>
      </c>
      <c r="M363" t="str">
        <f>IF($L363=1,SUM($L$2:L363),"")</f>
        <v/>
      </c>
      <c r="N363">
        <f t="shared" si="32"/>
        <v>0</v>
      </c>
      <c r="O363">
        <f>IF(AND($N363=1,'All Data'!$E363&lt;&gt;"",COUNTIFS($N$2:N362,1,'All Data'!$E$2:$E362,'All Data'!$E363)=0),1,0)</f>
        <v>0</v>
      </c>
      <c r="P363" t="str">
        <f>IF($O363=1,SUM($O$2:O363),"")</f>
        <v/>
      </c>
      <c r="Q363">
        <f t="shared" si="33"/>
        <v>0</v>
      </c>
      <c r="R363">
        <f>IF(AND($Q363=1,'All Data'!$F363&lt;&gt;"",COUNTIFS($Q$2:Q362,1,'All Data'!$F$2:$F362,'All Data'!$F363)=0),1,0)</f>
        <v>0</v>
      </c>
      <c r="S363" t="str">
        <f>IF($R363=1,SUM($R$2:R363),"")</f>
        <v/>
      </c>
      <c r="T363">
        <f t="shared" si="34"/>
        <v>0</v>
      </c>
      <c r="U363">
        <f>IF(AND($T363=1,'All Data'!$G363&lt;&gt;"",COUNTIFS($T$2:T362,1,'All Data'!$G$2:$G362,'All Data'!$G363)=0),1,0)</f>
        <v>0</v>
      </c>
      <c r="V363" t="str">
        <f>IF($U363=1,SUM($U$2:U363),"")</f>
        <v/>
      </c>
      <c r="W363">
        <f t="shared" si="35"/>
        <v>0</v>
      </c>
      <c r="X363" t="str">
        <f>IF($W363=1,SUM($W$2:W363),"")</f>
        <v/>
      </c>
    </row>
    <row r="364" spans="1:24" x14ac:dyDescent="0.3">
      <c r="A364">
        <f>IF(OR($BA1="Any",$BA1=""),1,IF('All Data'!$B364=$BA1,1,0))</f>
        <v>0</v>
      </c>
      <c r="B364">
        <f>IF(OR($BA2="Any",$BA2=""),1,IF('All Data'!$C364=$BA2,1,0))</f>
        <v>1</v>
      </c>
      <c r="C364">
        <f>IF(OR($BA3="Any",$BA3=""),1,IF('All Data'!$D364=$BA3,1,0))</f>
        <v>1</v>
      </c>
      <c r="D364">
        <f>IF(OR($BA4="Any",$BA4=""),1,IF('All Data'!$E364=$BA4,1,0))</f>
        <v>1</v>
      </c>
      <c r="E364">
        <f>IF(OR($BA5="Any",$BA5=""),1,IF('All Data'!$F364=$BA5,1,0))</f>
        <v>1</v>
      </c>
      <c r="F364">
        <f>IF(OR($BA6="Any",$BA6=""),1,IF('All Data'!$G364=$BA6,1,0))</f>
        <v>0</v>
      </c>
      <c r="G364">
        <f>IF(AND(OR($BA$8="",ISNUMBER(SEARCH($BA$8,'All Data'!$K364&amp;" "&amp;'All Data'!$M364))),OR($BA$9="",ISNUMBER(SEARCH($BA$9,'All Data'!$K364&amp;" "&amp;'All Data'!$M364))),OR($BA$10="",ISNUMBER(SEARCH($BA$10,'All Data'!$K364&amp;" "&amp;'All Data'!$M364))),OR($BA$11="",ISNUMBER(SEARCH($BA$11,'All Data'!$K364&amp;" "&amp;'All Data'!$M364))),OR($BA$12="",ISNUMBER(SEARCH($BA$12,'All Data'!$K364&amp;" "&amp;'All Data'!$M364))),OR($BA$13="",ISNUMBER(SEARCH($BA$13,'All Data'!$K364&amp;" "&amp;'All Data'!$M364))),OR($BA$14="",ISNUMBER(SEARCH($BA$14,'All Data'!$K364&amp;" "&amp;'All Data'!$M364))),OR($BA$15="",ISNUMBER(SEARCH($BA$15,'All Data'!$K364&amp;" "&amp;'All Data'!$M364)))),1,0)</f>
        <v>1</v>
      </c>
      <c r="H364">
        <f t="shared" si="30"/>
        <v>0</v>
      </c>
      <c r="I364">
        <f>IF(AND($H364=1,'All Data'!$C364&lt;&gt;"",COUNTIFS($H$2:H363,1,'All Data'!$C$2:$C363,'All Data'!$C364)=0),1,0)</f>
        <v>0</v>
      </c>
      <c r="J364" t="str">
        <f>IF($I364=1,SUM($I$2:I364),"")</f>
        <v/>
      </c>
      <c r="K364">
        <f t="shared" si="31"/>
        <v>0</v>
      </c>
      <c r="L364">
        <f>IF(AND($K364=1,'All Data'!$D364&lt;&gt;"",COUNTIFS($K$2:K363,1,'All Data'!$D$2:$D363,'All Data'!$D364)=0),1,0)</f>
        <v>0</v>
      </c>
      <c r="M364" t="str">
        <f>IF($L364=1,SUM($L$2:L364),"")</f>
        <v/>
      </c>
      <c r="N364">
        <f t="shared" si="32"/>
        <v>0</v>
      </c>
      <c r="O364">
        <f>IF(AND($N364=1,'All Data'!$E364&lt;&gt;"",COUNTIFS($N$2:N363,1,'All Data'!$E$2:$E363,'All Data'!$E364)=0),1,0)</f>
        <v>0</v>
      </c>
      <c r="P364" t="str">
        <f>IF($O364=1,SUM($O$2:O364),"")</f>
        <v/>
      </c>
      <c r="Q364">
        <f t="shared" si="33"/>
        <v>0</v>
      </c>
      <c r="R364">
        <f>IF(AND($Q364=1,'All Data'!$F364&lt;&gt;"",COUNTIFS($Q$2:Q363,1,'All Data'!$F$2:$F363,'All Data'!$F364)=0),1,0)</f>
        <v>0</v>
      </c>
      <c r="S364" t="str">
        <f>IF($R364=1,SUM($R$2:R364),"")</f>
        <v/>
      </c>
      <c r="T364">
        <f t="shared" si="34"/>
        <v>0</v>
      </c>
      <c r="U364">
        <f>IF(AND($T364=1,'All Data'!$G364&lt;&gt;"",COUNTIFS($T$2:T363,1,'All Data'!$G$2:$G363,'All Data'!$G364)=0),1,0)</f>
        <v>0</v>
      </c>
      <c r="V364" t="str">
        <f>IF($U364=1,SUM($U$2:U364),"")</f>
        <v/>
      </c>
      <c r="W364">
        <f t="shared" si="35"/>
        <v>0</v>
      </c>
      <c r="X364" t="str">
        <f>IF($W364=1,SUM($W$2:W364),"")</f>
        <v/>
      </c>
    </row>
    <row r="365" spans="1:24" x14ac:dyDescent="0.3">
      <c r="A365">
        <f>IF(OR($BA1="Any",$BA1=""),1,IF('All Data'!$B365=$BA1,1,0))</f>
        <v>0</v>
      </c>
      <c r="B365">
        <f>IF(OR($BA2="Any",$BA2=""),1,IF('All Data'!$C365=$BA2,1,0))</f>
        <v>1</v>
      </c>
      <c r="C365">
        <f>IF(OR($BA3="Any",$BA3=""),1,IF('All Data'!$D365=$BA3,1,0))</f>
        <v>1</v>
      </c>
      <c r="D365">
        <f>IF(OR($BA4="Any",$BA4=""),1,IF('All Data'!$E365=$BA4,1,0))</f>
        <v>1</v>
      </c>
      <c r="E365">
        <f>IF(OR($BA5="Any",$BA5=""),1,IF('All Data'!$F365=$BA5,1,0))</f>
        <v>1</v>
      </c>
      <c r="F365">
        <f>IF(OR($BA6="Any",$BA6=""),1,IF('All Data'!$G365=$BA6,1,0))</f>
        <v>0</v>
      </c>
      <c r="G365">
        <f>IF(AND(OR($BA$8="",ISNUMBER(SEARCH($BA$8,'All Data'!$K365&amp;" "&amp;'All Data'!$M365))),OR($BA$9="",ISNUMBER(SEARCH($BA$9,'All Data'!$K365&amp;" "&amp;'All Data'!$M365))),OR($BA$10="",ISNUMBER(SEARCH($BA$10,'All Data'!$K365&amp;" "&amp;'All Data'!$M365))),OR($BA$11="",ISNUMBER(SEARCH($BA$11,'All Data'!$K365&amp;" "&amp;'All Data'!$M365))),OR($BA$12="",ISNUMBER(SEARCH($BA$12,'All Data'!$K365&amp;" "&amp;'All Data'!$M365))),OR($BA$13="",ISNUMBER(SEARCH($BA$13,'All Data'!$K365&amp;" "&amp;'All Data'!$M365))),OR($BA$14="",ISNUMBER(SEARCH($BA$14,'All Data'!$K365&amp;" "&amp;'All Data'!$M365))),OR($BA$15="",ISNUMBER(SEARCH($BA$15,'All Data'!$K365&amp;" "&amp;'All Data'!$M365)))),1,0)</f>
        <v>1</v>
      </c>
      <c r="H365">
        <f t="shared" si="30"/>
        <v>0</v>
      </c>
      <c r="I365">
        <f>IF(AND($H365=1,'All Data'!$C365&lt;&gt;"",COUNTIFS($H$2:H364,1,'All Data'!$C$2:$C364,'All Data'!$C365)=0),1,0)</f>
        <v>0</v>
      </c>
      <c r="J365" t="str">
        <f>IF($I365=1,SUM($I$2:I365),"")</f>
        <v/>
      </c>
      <c r="K365">
        <f t="shared" si="31"/>
        <v>0</v>
      </c>
      <c r="L365">
        <f>IF(AND($K365=1,'All Data'!$D365&lt;&gt;"",COUNTIFS($K$2:K364,1,'All Data'!$D$2:$D364,'All Data'!$D365)=0),1,0)</f>
        <v>0</v>
      </c>
      <c r="M365" t="str">
        <f>IF($L365=1,SUM($L$2:L365),"")</f>
        <v/>
      </c>
      <c r="N365">
        <f t="shared" si="32"/>
        <v>0</v>
      </c>
      <c r="O365">
        <f>IF(AND($N365=1,'All Data'!$E365&lt;&gt;"",COUNTIFS($N$2:N364,1,'All Data'!$E$2:$E364,'All Data'!$E365)=0),1,0)</f>
        <v>0</v>
      </c>
      <c r="P365" t="str">
        <f>IF($O365=1,SUM($O$2:O365),"")</f>
        <v/>
      </c>
      <c r="Q365">
        <f t="shared" si="33"/>
        <v>0</v>
      </c>
      <c r="R365">
        <f>IF(AND($Q365=1,'All Data'!$F365&lt;&gt;"",COUNTIFS($Q$2:Q364,1,'All Data'!$F$2:$F364,'All Data'!$F365)=0),1,0)</f>
        <v>0</v>
      </c>
      <c r="S365" t="str">
        <f>IF($R365=1,SUM($R$2:R365),"")</f>
        <v/>
      </c>
      <c r="T365">
        <f t="shared" si="34"/>
        <v>0</v>
      </c>
      <c r="U365">
        <f>IF(AND($T365=1,'All Data'!$G365&lt;&gt;"",COUNTIFS($T$2:T364,1,'All Data'!$G$2:$G364,'All Data'!$G365)=0),1,0)</f>
        <v>0</v>
      </c>
      <c r="V365" t="str">
        <f>IF($U365=1,SUM($U$2:U365),"")</f>
        <v/>
      </c>
      <c r="W365">
        <f t="shared" si="35"/>
        <v>0</v>
      </c>
      <c r="X365" t="str">
        <f>IF($W365=1,SUM($W$2:W365),"")</f>
        <v/>
      </c>
    </row>
    <row r="366" spans="1:24" x14ac:dyDescent="0.3">
      <c r="A366">
        <f>IF(OR($BA1="Any",$BA1=""),1,IF('All Data'!$B366=$BA1,1,0))</f>
        <v>0</v>
      </c>
      <c r="B366">
        <f>IF(OR($BA2="Any",$BA2=""),1,IF('All Data'!$C366=$BA2,1,0))</f>
        <v>1</v>
      </c>
      <c r="C366">
        <f>IF(OR($BA3="Any",$BA3=""),1,IF('All Data'!$D366=$BA3,1,0))</f>
        <v>1</v>
      </c>
      <c r="D366">
        <f>IF(OR($BA4="Any",$BA4=""),1,IF('All Data'!$E366=$BA4,1,0))</f>
        <v>1</v>
      </c>
      <c r="E366">
        <f>IF(OR($BA5="Any",$BA5=""),1,IF('All Data'!$F366=$BA5,1,0))</f>
        <v>1</v>
      </c>
      <c r="F366">
        <f>IF(OR($BA6="Any",$BA6=""),1,IF('All Data'!$G366=$BA6,1,0))</f>
        <v>0</v>
      </c>
      <c r="G366">
        <f>IF(AND(OR($BA$8="",ISNUMBER(SEARCH($BA$8,'All Data'!$K366&amp;" "&amp;'All Data'!$M366))),OR($BA$9="",ISNUMBER(SEARCH($BA$9,'All Data'!$K366&amp;" "&amp;'All Data'!$M366))),OR($BA$10="",ISNUMBER(SEARCH($BA$10,'All Data'!$K366&amp;" "&amp;'All Data'!$M366))),OR($BA$11="",ISNUMBER(SEARCH($BA$11,'All Data'!$K366&amp;" "&amp;'All Data'!$M366))),OR($BA$12="",ISNUMBER(SEARCH($BA$12,'All Data'!$K366&amp;" "&amp;'All Data'!$M366))),OR($BA$13="",ISNUMBER(SEARCH($BA$13,'All Data'!$K366&amp;" "&amp;'All Data'!$M366))),OR($BA$14="",ISNUMBER(SEARCH($BA$14,'All Data'!$K366&amp;" "&amp;'All Data'!$M366))),OR($BA$15="",ISNUMBER(SEARCH($BA$15,'All Data'!$K366&amp;" "&amp;'All Data'!$M366)))),1,0)</f>
        <v>1</v>
      </c>
      <c r="H366">
        <f t="shared" si="30"/>
        <v>0</v>
      </c>
      <c r="I366">
        <f>IF(AND($H366=1,'All Data'!$C366&lt;&gt;"",COUNTIFS($H$2:H365,1,'All Data'!$C$2:$C365,'All Data'!$C366)=0),1,0)</f>
        <v>0</v>
      </c>
      <c r="J366" t="str">
        <f>IF($I366=1,SUM($I$2:I366),"")</f>
        <v/>
      </c>
      <c r="K366">
        <f t="shared" si="31"/>
        <v>0</v>
      </c>
      <c r="L366">
        <f>IF(AND($K366=1,'All Data'!$D366&lt;&gt;"",COUNTIFS($K$2:K365,1,'All Data'!$D$2:$D365,'All Data'!$D366)=0),1,0)</f>
        <v>0</v>
      </c>
      <c r="M366" t="str">
        <f>IF($L366=1,SUM($L$2:L366),"")</f>
        <v/>
      </c>
      <c r="N366">
        <f t="shared" si="32"/>
        <v>0</v>
      </c>
      <c r="O366">
        <f>IF(AND($N366=1,'All Data'!$E366&lt;&gt;"",COUNTIFS($N$2:N365,1,'All Data'!$E$2:$E365,'All Data'!$E366)=0),1,0)</f>
        <v>0</v>
      </c>
      <c r="P366" t="str">
        <f>IF($O366=1,SUM($O$2:O366),"")</f>
        <v/>
      </c>
      <c r="Q366">
        <f t="shared" si="33"/>
        <v>0</v>
      </c>
      <c r="R366">
        <f>IF(AND($Q366=1,'All Data'!$F366&lt;&gt;"",COUNTIFS($Q$2:Q365,1,'All Data'!$F$2:$F365,'All Data'!$F366)=0),1,0)</f>
        <v>0</v>
      </c>
      <c r="S366" t="str">
        <f>IF($R366=1,SUM($R$2:R366),"")</f>
        <v/>
      </c>
      <c r="T366">
        <f t="shared" si="34"/>
        <v>0</v>
      </c>
      <c r="U366">
        <f>IF(AND($T366=1,'All Data'!$G366&lt;&gt;"",COUNTIFS($T$2:T365,1,'All Data'!$G$2:$G365,'All Data'!$G366)=0),1,0)</f>
        <v>0</v>
      </c>
      <c r="V366" t="str">
        <f>IF($U366=1,SUM($U$2:U366),"")</f>
        <v/>
      </c>
      <c r="W366">
        <f t="shared" si="35"/>
        <v>0</v>
      </c>
      <c r="X366" t="str">
        <f>IF($W366=1,SUM($W$2:W366),"")</f>
        <v/>
      </c>
    </row>
    <row r="367" spans="1:24" x14ac:dyDescent="0.3">
      <c r="A367">
        <f>IF(OR($BA1="Any",$BA1=""),1,IF('All Data'!$B367=$BA1,1,0))</f>
        <v>0</v>
      </c>
      <c r="B367">
        <f>IF(OR($BA2="Any",$BA2=""),1,IF('All Data'!$C367=$BA2,1,0))</f>
        <v>1</v>
      </c>
      <c r="C367">
        <f>IF(OR($BA3="Any",$BA3=""),1,IF('All Data'!$D367=$BA3,1,0))</f>
        <v>1</v>
      </c>
      <c r="D367">
        <f>IF(OR($BA4="Any",$BA4=""),1,IF('All Data'!$E367=$BA4,1,0))</f>
        <v>1</v>
      </c>
      <c r="E367">
        <f>IF(OR($BA5="Any",$BA5=""),1,IF('All Data'!$F367=$BA5,1,0))</f>
        <v>1</v>
      </c>
      <c r="F367">
        <f>IF(OR($BA6="Any",$BA6=""),1,IF('All Data'!$G367=$BA6,1,0))</f>
        <v>0</v>
      </c>
      <c r="G367">
        <f>IF(AND(OR($BA$8="",ISNUMBER(SEARCH($BA$8,'All Data'!$K367&amp;" "&amp;'All Data'!$M367))),OR($BA$9="",ISNUMBER(SEARCH($BA$9,'All Data'!$K367&amp;" "&amp;'All Data'!$M367))),OR($BA$10="",ISNUMBER(SEARCH($BA$10,'All Data'!$K367&amp;" "&amp;'All Data'!$M367))),OR($BA$11="",ISNUMBER(SEARCH($BA$11,'All Data'!$K367&amp;" "&amp;'All Data'!$M367))),OR($BA$12="",ISNUMBER(SEARCH($BA$12,'All Data'!$K367&amp;" "&amp;'All Data'!$M367))),OR($BA$13="",ISNUMBER(SEARCH($BA$13,'All Data'!$K367&amp;" "&amp;'All Data'!$M367))),OR($BA$14="",ISNUMBER(SEARCH($BA$14,'All Data'!$K367&amp;" "&amp;'All Data'!$M367))),OR($BA$15="",ISNUMBER(SEARCH($BA$15,'All Data'!$K367&amp;" "&amp;'All Data'!$M367)))),1,0)</f>
        <v>1</v>
      </c>
      <c r="H367">
        <f t="shared" si="30"/>
        <v>0</v>
      </c>
      <c r="I367">
        <f>IF(AND($H367=1,'All Data'!$C367&lt;&gt;"",COUNTIFS($H$2:H366,1,'All Data'!$C$2:$C366,'All Data'!$C367)=0),1,0)</f>
        <v>0</v>
      </c>
      <c r="J367" t="str">
        <f>IF($I367=1,SUM($I$2:I367),"")</f>
        <v/>
      </c>
      <c r="K367">
        <f t="shared" si="31"/>
        <v>0</v>
      </c>
      <c r="L367">
        <f>IF(AND($K367=1,'All Data'!$D367&lt;&gt;"",COUNTIFS($K$2:K366,1,'All Data'!$D$2:$D366,'All Data'!$D367)=0),1,0)</f>
        <v>0</v>
      </c>
      <c r="M367" t="str">
        <f>IF($L367=1,SUM($L$2:L367),"")</f>
        <v/>
      </c>
      <c r="N367">
        <f t="shared" si="32"/>
        <v>0</v>
      </c>
      <c r="O367">
        <f>IF(AND($N367=1,'All Data'!$E367&lt;&gt;"",COUNTIFS($N$2:N366,1,'All Data'!$E$2:$E366,'All Data'!$E367)=0),1,0)</f>
        <v>0</v>
      </c>
      <c r="P367" t="str">
        <f>IF($O367=1,SUM($O$2:O367),"")</f>
        <v/>
      </c>
      <c r="Q367">
        <f t="shared" si="33"/>
        <v>0</v>
      </c>
      <c r="R367">
        <f>IF(AND($Q367=1,'All Data'!$F367&lt;&gt;"",COUNTIFS($Q$2:Q366,1,'All Data'!$F$2:$F366,'All Data'!$F367)=0),1,0)</f>
        <v>0</v>
      </c>
      <c r="S367" t="str">
        <f>IF($R367=1,SUM($R$2:R367),"")</f>
        <v/>
      </c>
      <c r="T367">
        <f t="shared" si="34"/>
        <v>0</v>
      </c>
      <c r="U367">
        <f>IF(AND($T367=1,'All Data'!$G367&lt;&gt;"",COUNTIFS($T$2:T366,1,'All Data'!$G$2:$G366,'All Data'!$G367)=0),1,0)</f>
        <v>0</v>
      </c>
      <c r="V367" t="str">
        <f>IF($U367=1,SUM($U$2:U367),"")</f>
        <v/>
      </c>
      <c r="W367">
        <f t="shared" si="35"/>
        <v>0</v>
      </c>
      <c r="X367" t="str">
        <f>IF($W367=1,SUM($W$2:W367),"")</f>
        <v/>
      </c>
    </row>
    <row r="368" spans="1:24" x14ac:dyDescent="0.3">
      <c r="A368">
        <f>IF(OR($BA1="Any",$BA1=""),1,IF('All Data'!$B368=$BA1,1,0))</f>
        <v>0</v>
      </c>
      <c r="B368">
        <f>IF(OR($BA2="Any",$BA2=""),1,IF('All Data'!$C368=$BA2,1,0))</f>
        <v>1</v>
      </c>
      <c r="C368">
        <f>IF(OR($BA3="Any",$BA3=""),1,IF('All Data'!$D368=$BA3,1,0))</f>
        <v>1</v>
      </c>
      <c r="D368">
        <f>IF(OR($BA4="Any",$BA4=""),1,IF('All Data'!$E368=$BA4,1,0))</f>
        <v>1</v>
      </c>
      <c r="E368">
        <f>IF(OR($BA5="Any",$BA5=""),1,IF('All Data'!$F368=$BA5,1,0))</f>
        <v>1</v>
      </c>
      <c r="F368">
        <f>IF(OR($BA6="Any",$BA6=""),1,IF('All Data'!$G368=$BA6,1,0))</f>
        <v>0</v>
      </c>
      <c r="G368">
        <f>IF(AND(OR($BA$8="",ISNUMBER(SEARCH($BA$8,'All Data'!$K368&amp;" "&amp;'All Data'!$M368))),OR($BA$9="",ISNUMBER(SEARCH($BA$9,'All Data'!$K368&amp;" "&amp;'All Data'!$M368))),OR($BA$10="",ISNUMBER(SEARCH($BA$10,'All Data'!$K368&amp;" "&amp;'All Data'!$M368))),OR($BA$11="",ISNUMBER(SEARCH($BA$11,'All Data'!$K368&amp;" "&amp;'All Data'!$M368))),OR($BA$12="",ISNUMBER(SEARCH($BA$12,'All Data'!$K368&amp;" "&amp;'All Data'!$M368))),OR($BA$13="",ISNUMBER(SEARCH($BA$13,'All Data'!$K368&amp;" "&amp;'All Data'!$M368))),OR($BA$14="",ISNUMBER(SEARCH($BA$14,'All Data'!$K368&amp;" "&amp;'All Data'!$M368))),OR($BA$15="",ISNUMBER(SEARCH($BA$15,'All Data'!$K368&amp;" "&amp;'All Data'!$M368)))),1,0)</f>
        <v>1</v>
      </c>
      <c r="H368">
        <f t="shared" si="30"/>
        <v>0</v>
      </c>
      <c r="I368">
        <f>IF(AND($H368=1,'All Data'!$C368&lt;&gt;"",COUNTIFS($H$2:H367,1,'All Data'!$C$2:$C367,'All Data'!$C368)=0),1,0)</f>
        <v>0</v>
      </c>
      <c r="J368" t="str">
        <f>IF($I368=1,SUM($I$2:I368),"")</f>
        <v/>
      </c>
      <c r="K368">
        <f t="shared" si="31"/>
        <v>0</v>
      </c>
      <c r="L368">
        <f>IF(AND($K368=1,'All Data'!$D368&lt;&gt;"",COUNTIFS($K$2:K367,1,'All Data'!$D$2:$D367,'All Data'!$D368)=0),1,0)</f>
        <v>0</v>
      </c>
      <c r="M368" t="str">
        <f>IF($L368=1,SUM($L$2:L368),"")</f>
        <v/>
      </c>
      <c r="N368">
        <f t="shared" si="32"/>
        <v>0</v>
      </c>
      <c r="O368">
        <f>IF(AND($N368=1,'All Data'!$E368&lt;&gt;"",COUNTIFS($N$2:N367,1,'All Data'!$E$2:$E367,'All Data'!$E368)=0),1,0)</f>
        <v>0</v>
      </c>
      <c r="P368" t="str">
        <f>IF($O368=1,SUM($O$2:O368),"")</f>
        <v/>
      </c>
      <c r="Q368">
        <f t="shared" si="33"/>
        <v>0</v>
      </c>
      <c r="R368">
        <f>IF(AND($Q368=1,'All Data'!$F368&lt;&gt;"",COUNTIFS($Q$2:Q367,1,'All Data'!$F$2:$F367,'All Data'!$F368)=0),1,0)</f>
        <v>0</v>
      </c>
      <c r="S368" t="str">
        <f>IF($R368=1,SUM($R$2:R368),"")</f>
        <v/>
      </c>
      <c r="T368">
        <f t="shared" si="34"/>
        <v>0</v>
      </c>
      <c r="U368">
        <f>IF(AND($T368=1,'All Data'!$G368&lt;&gt;"",COUNTIFS($T$2:T367,1,'All Data'!$G$2:$G367,'All Data'!$G368)=0),1,0)</f>
        <v>0</v>
      </c>
      <c r="V368" t="str">
        <f>IF($U368=1,SUM($U$2:U368),"")</f>
        <v/>
      </c>
      <c r="W368">
        <f t="shared" si="35"/>
        <v>0</v>
      </c>
      <c r="X368" t="str">
        <f>IF($W368=1,SUM($W$2:W368),"")</f>
        <v/>
      </c>
    </row>
    <row r="369" spans="1:24" x14ac:dyDescent="0.3">
      <c r="A369">
        <f>IF(OR($BA1="Any",$BA1=""),1,IF('All Data'!$B369=$BA1,1,0))</f>
        <v>0</v>
      </c>
      <c r="B369">
        <f>IF(OR($BA2="Any",$BA2=""),1,IF('All Data'!$C369=$BA2,1,0))</f>
        <v>1</v>
      </c>
      <c r="C369">
        <f>IF(OR($BA3="Any",$BA3=""),1,IF('All Data'!$D369=$BA3,1,0))</f>
        <v>1</v>
      </c>
      <c r="D369">
        <f>IF(OR($BA4="Any",$BA4=""),1,IF('All Data'!$E369=$BA4,1,0))</f>
        <v>1</v>
      </c>
      <c r="E369">
        <f>IF(OR($BA5="Any",$BA5=""),1,IF('All Data'!$F369=$BA5,1,0))</f>
        <v>1</v>
      </c>
      <c r="F369">
        <f>IF(OR($BA6="Any",$BA6=""),1,IF('All Data'!$G369=$BA6,1,0))</f>
        <v>1</v>
      </c>
      <c r="G369">
        <f>IF(AND(OR($BA$8="",ISNUMBER(SEARCH($BA$8,'All Data'!$K369&amp;" "&amp;'All Data'!$M369))),OR($BA$9="",ISNUMBER(SEARCH($BA$9,'All Data'!$K369&amp;" "&amp;'All Data'!$M369))),OR($BA$10="",ISNUMBER(SEARCH($BA$10,'All Data'!$K369&amp;" "&amp;'All Data'!$M369))),OR($BA$11="",ISNUMBER(SEARCH($BA$11,'All Data'!$K369&amp;" "&amp;'All Data'!$M369))),OR($BA$12="",ISNUMBER(SEARCH($BA$12,'All Data'!$K369&amp;" "&amp;'All Data'!$M369))),OR($BA$13="",ISNUMBER(SEARCH($BA$13,'All Data'!$K369&amp;" "&amp;'All Data'!$M369))),OR($BA$14="",ISNUMBER(SEARCH($BA$14,'All Data'!$K369&amp;" "&amp;'All Data'!$M369))),OR($BA$15="",ISNUMBER(SEARCH($BA$15,'All Data'!$K369&amp;" "&amp;'All Data'!$M369)))),1,0)</f>
        <v>1</v>
      </c>
      <c r="H369">
        <f t="shared" si="30"/>
        <v>0</v>
      </c>
      <c r="I369">
        <f>IF(AND($H369=1,'All Data'!$C369&lt;&gt;"",COUNTIFS($H$2:H368,1,'All Data'!$C$2:$C368,'All Data'!$C369)=0),1,0)</f>
        <v>0</v>
      </c>
      <c r="J369" t="str">
        <f>IF($I369=1,SUM($I$2:I369),"")</f>
        <v/>
      </c>
      <c r="K369">
        <f t="shared" si="31"/>
        <v>0</v>
      </c>
      <c r="L369">
        <f>IF(AND($K369=1,'All Data'!$D369&lt;&gt;"",COUNTIFS($K$2:K368,1,'All Data'!$D$2:$D368,'All Data'!$D369)=0),1,0)</f>
        <v>0</v>
      </c>
      <c r="M369" t="str">
        <f>IF($L369=1,SUM($L$2:L369),"")</f>
        <v/>
      </c>
      <c r="N369">
        <f t="shared" si="32"/>
        <v>0</v>
      </c>
      <c r="O369">
        <f>IF(AND($N369=1,'All Data'!$E369&lt;&gt;"",COUNTIFS($N$2:N368,1,'All Data'!$E$2:$E368,'All Data'!$E369)=0),1,0)</f>
        <v>0</v>
      </c>
      <c r="P369" t="str">
        <f>IF($O369=1,SUM($O$2:O369),"")</f>
        <v/>
      </c>
      <c r="Q369">
        <f t="shared" si="33"/>
        <v>0</v>
      </c>
      <c r="R369">
        <f>IF(AND($Q369=1,'All Data'!$F369&lt;&gt;"",COUNTIFS($Q$2:Q368,1,'All Data'!$F$2:$F368,'All Data'!$F369)=0),1,0)</f>
        <v>0</v>
      </c>
      <c r="S369" t="str">
        <f>IF($R369=1,SUM($R$2:R369),"")</f>
        <v/>
      </c>
      <c r="T369">
        <f t="shared" si="34"/>
        <v>0</v>
      </c>
      <c r="U369">
        <f>IF(AND($T369=1,'All Data'!$G369&lt;&gt;"",COUNTIFS($T$2:T368,1,'All Data'!$G$2:$G368,'All Data'!$G369)=0),1,0)</f>
        <v>0</v>
      </c>
      <c r="V369" t="str">
        <f>IF($U369=1,SUM($U$2:U369),"")</f>
        <v/>
      </c>
      <c r="W369">
        <f t="shared" si="35"/>
        <v>0</v>
      </c>
      <c r="X369" t="str">
        <f>IF($W369=1,SUM($W$2:W369),"")</f>
        <v/>
      </c>
    </row>
    <row r="370" spans="1:24" x14ac:dyDescent="0.3">
      <c r="A370">
        <f>IF(OR($BA1="Any",$BA1=""),1,IF('All Data'!$B370=$BA1,1,0))</f>
        <v>0</v>
      </c>
      <c r="B370">
        <f>IF(OR($BA2="Any",$BA2=""),1,IF('All Data'!$C370=$BA2,1,0))</f>
        <v>1</v>
      </c>
      <c r="C370">
        <f>IF(OR($BA3="Any",$BA3=""),1,IF('All Data'!$D370=$BA3,1,0))</f>
        <v>1</v>
      </c>
      <c r="D370">
        <f>IF(OR($BA4="Any",$BA4=""),1,IF('All Data'!$E370=$BA4,1,0))</f>
        <v>1</v>
      </c>
      <c r="E370">
        <f>IF(OR($BA5="Any",$BA5=""),1,IF('All Data'!$F370=$BA5,1,0))</f>
        <v>1</v>
      </c>
      <c r="F370">
        <f>IF(OR($BA6="Any",$BA6=""),1,IF('All Data'!$G370=$BA6,1,0))</f>
        <v>0</v>
      </c>
      <c r="G370">
        <f>IF(AND(OR($BA$8="",ISNUMBER(SEARCH($BA$8,'All Data'!$K370&amp;" "&amp;'All Data'!$M370))),OR($BA$9="",ISNUMBER(SEARCH($BA$9,'All Data'!$K370&amp;" "&amp;'All Data'!$M370))),OR($BA$10="",ISNUMBER(SEARCH($BA$10,'All Data'!$K370&amp;" "&amp;'All Data'!$M370))),OR($BA$11="",ISNUMBER(SEARCH($BA$11,'All Data'!$K370&amp;" "&amp;'All Data'!$M370))),OR($BA$12="",ISNUMBER(SEARCH($BA$12,'All Data'!$K370&amp;" "&amp;'All Data'!$M370))),OR($BA$13="",ISNUMBER(SEARCH($BA$13,'All Data'!$K370&amp;" "&amp;'All Data'!$M370))),OR($BA$14="",ISNUMBER(SEARCH($BA$14,'All Data'!$K370&amp;" "&amp;'All Data'!$M370))),OR($BA$15="",ISNUMBER(SEARCH($BA$15,'All Data'!$K370&amp;" "&amp;'All Data'!$M370)))),1,0)</f>
        <v>1</v>
      </c>
      <c r="H370">
        <f t="shared" si="30"/>
        <v>0</v>
      </c>
      <c r="I370">
        <f>IF(AND($H370=1,'All Data'!$C370&lt;&gt;"",COUNTIFS($H$2:H369,1,'All Data'!$C$2:$C369,'All Data'!$C370)=0),1,0)</f>
        <v>0</v>
      </c>
      <c r="J370" t="str">
        <f>IF($I370=1,SUM($I$2:I370),"")</f>
        <v/>
      </c>
      <c r="K370">
        <f t="shared" si="31"/>
        <v>0</v>
      </c>
      <c r="L370">
        <f>IF(AND($K370=1,'All Data'!$D370&lt;&gt;"",COUNTIFS($K$2:K369,1,'All Data'!$D$2:$D369,'All Data'!$D370)=0),1,0)</f>
        <v>0</v>
      </c>
      <c r="M370" t="str">
        <f>IF($L370=1,SUM($L$2:L370),"")</f>
        <v/>
      </c>
      <c r="N370">
        <f t="shared" si="32"/>
        <v>0</v>
      </c>
      <c r="O370">
        <f>IF(AND($N370=1,'All Data'!$E370&lt;&gt;"",COUNTIFS($N$2:N369,1,'All Data'!$E$2:$E369,'All Data'!$E370)=0),1,0)</f>
        <v>0</v>
      </c>
      <c r="P370" t="str">
        <f>IF($O370=1,SUM($O$2:O370),"")</f>
        <v/>
      </c>
      <c r="Q370">
        <f t="shared" si="33"/>
        <v>0</v>
      </c>
      <c r="R370">
        <f>IF(AND($Q370=1,'All Data'!$F370&lt;&gt;"",COUNTIFS($Q$2:Q369,1,'All Data'!$F$2:$F369,'All Data'!$F370)=0),1,0)</f>
        <v>0</v>
      </c>
      <c r="S370" t="str">
        <f>IF($R370=1,SUM($R$2:R370),"")</f>
        <v/>
      </c>
      <c r="T370">
        <f t="shared" si="34"/>
        <v>0</v>
      </c>
      <c r="U370">
        <f>IF(AND($T370=1,'All Data'!$G370&lt;&gt;"",COUNTIFS($T$2:T369,1,'All Data'!$G$2:$G369,'All Data'!$G370)=0),1,0)</f>
        <v>0</v>
      </c>
      <c r="V370" t="str">
        <f>IF($U370=1,SUM($U$2:U370),"")</f>
        <v/>
      </c>
      <c r="W370">
        <f t="shared" si="35"/>
        <v>0</v>
      </c>
      <c r="X370" t="str">
        <f>IF($W370=1,SUM($W$2:W370),"")</f>
        <v/>
      </c>
    </row>
    <row r="371" spans="1:24" x14ac:dyDescent="0.3">
      <c r="A371">
        <f>IF(OR($BA1="Any",$BA1=""),1,IF('All Data'!$B371=$BA1,1,0))</f>
        <v>0</v>
      </c>
      <c r="B371">
        <f>IF(OR($BA2="Any",$BA2=""),1,IF('All Data'!$C371=$BA2,1,0))</f>
        <v>1</v>
      </c>
      <c r="C371">
        <f>IF(OR($BA3="Any",$BA3=""),1,IF('All Data'!$D371=$BA3,1,0))</f>
        <v>1</v>
      </c>
      <c r="D371">
        <f>IF(OR($BA4="Any",$BA4=""),1,IF('All Data'!$E371=$BA4,1,0))</f>
        <v>1</v>
      </c>
      <c r="E371">
        <f>IF(OR($BA5="Any",$BA5=""),1,IF('All Data'!$F371=$BA5,1,0))</f>
        <v>1</v>
      </c>
      <c r="F371">
        <f>IF(OR($BA6="Any",$BA6=""),1,IF('All Data'!$G371=$BA6,1,0))</f>
        <v>0</v>
      </c>
      <c r="G371">
        <f>IF(AND(OR($BA$8="",ISNUMBER(SEARCH($BA$8,'All Data'!$K371&amp;" "&amp;'All Data'!$M371))),OR($BA$9="",ISNUMBER(SEARCH($BA$9,'All Data'!$K371&amp;" "&amp;'All Data'!$M371))),OR($BA$10="",ISNUMBER(SEARCH($BA$10,'All Data'!$K371&amp;" "&amp;'All Data'!$M371))),OR($BA$11="",ISNUMBER(SEARCH($BA$11,'All Data'!$K371&amp;" "&amp;'All Data'!$M371))),OR($BA$12="",ISNUMBER(SEARCH($BA$12,'All Data'!$K371&amp;" "&amp;'All Data'!$M371))),OR($BA$13="",ISNUMBER(SEARCH($BA$13,'All Data'!$K371&amp;" "&amp;'All Data'!$M371))),OR($BA$14="",ISNUMBER(SEARCH($BA$14,'All Data'!$K371&amp;" "&amp;'All Data'!$M371))),OR($BA$15="",ISNUMBER(SEARCH($BA$15,'All Data'!$K371&amp;" "&amp;'All Data'!$M371)))),1,0)</f>
        <v>1</v>
      </c>
      <c r="H371">
        <f t="shared" si="30"/>
        <v>0</v>
      </c>
      <c r="I371">
        <f>IF(AND($H371=1,'All Data'!$C371&lt;&gt;"",COUNTIFS($H$2:H370,1,'All Data'!$C$2:$C370,'All Data'!$C371)=0),1,0)</f>
        <v>0</v>
      </c>
      <c r="J371" t="str">
        <f>IF($I371=1,SUM($I$2:I371),"")</f>
        <v/>
      </c>
      <c r="K371">
        <f t="shared" si="31"/>
        <v>0</v>
      </c>
      <c r="L371">
        <f>IF(AND($K371=1,'All Data'!$D371&lt;&gt;"",COUNTIFS($K$2:K370,1,'All Data'!$D$2:$D370,'All Data'!$D371)=0),1,0)</f>
        <v>0</v>
      </c>
      <c r="M371" t="str">
        <f>IF($L371=1,SUM($L$2:L371),"")</f>
        <v/>
      </c>
      <c r="N371">
        <f t="shared" si="32"/>
        <v>0</v>
      </c>
      <c r="O371">
        <f>IF(AND($N371=1,'All Data'!$E371&lt;&gt;"",COUNTIFS($N$2:N370,1,'All Data'!$E$2:$E370,'All Data'!$E371)=0),1,0)</f>
        <v>0</v>
      </c>
      <c r="P371" t="str">
        <f>IF($O371=1,SUM($O$2:O371),"")</f>
        <v/>
      </c>
      <c r="Q371">
        <f t="shared" si="33"/>
        <v>0</v>
      </c>
      <c r="R371">
        <f>IF(AND($Q371=1,'All Data'!$F371&lt;&gt;"",COUNTIFS($Q$2:Q370,1,'All Data'!$F$2:$F370,'All Data'!$F371)=0),1,0)</f>
        <v>0</v>
      </c>
      <c r="S371" t="str">
        <f>IF($R371=1,SUM($R$2:R371),"")</f>
        <v/>
      </c>
      <c r="T371">
        <f t="shared" si="34"/>
        <v>0</v>
      </c>
      <c r="U371">
        <f>IF(AND($T371=1,'All Data'!$G371&lt;&gt;"",COUNTIFS($T$2:T370,1,'All Data'!$G$2:$G370,'All Data'!$G371)=0),1,0)</f>
        <v>0</v>
      </c>
      <c r="V371" t="str">
        <f>IF($U371=1,SUM($U$2:U371),"")</f>
        <v/>
      </c>
      <c r="W371">
        <f t="shared" si="35"/>
        <v>0</v>
      </c>
      <c r="X371" t="str">
        <f>IF($W371=1,SUM($W$2:W371),"")</f>
        <v/>
      </c>
    </row>
    <row r="372" spans="1:24" x14ac:dyDescent="0.3">
      <c r="A372">
        <f>IF(OR($BA1="Any",$BA1=""),1,IF('All Data'!$B372=$BA1,1,0))</f>
        <v>0</v>
      </c>
      <c r="B372">
        <f>IF(OR($BA2="Any",$BA2=""),1,IF('All Data'!$C372=$BA2,1,0))</f>
        <v>1</v>
      </c>
      <c r="C372">
        <f>IF(OR($BA3="Any",$BA3=""),1,IF('All Data'!$D372=$BA3,1,0))</f>
        <v>1</v>
      </c>
      <c r="D372">
        <f>IF(OR($BA4="Any",$BA4=""),1,IF('All Data'!$E372=$BA4,1,0))</f>
        <v>1</v>
      </c>
      <c r="E372">
        <f>IF(OR($BA5="Any",$BA5=""),1,IF('All Data'!$F372=$BA5,1,0))</f>
        <v>1</v>
      </c>
      <c r="F372">
        <f>IF(OR($BA6="Any",$BA6=""),1,IF('All Data'!$G372=$BA6,1,0))</f>
        <v>0</v>
      </c>
      <c r="G372">
        <f>IF(AND(OR($BA$8="",ISNUMBER(SEARCH($BA$8,'All Data'!$K372&amp;" "&amp;'All Data'!$M372))),OR($BA$9="",ISNUMBER(SEARCH($BA$9,'All Data'!$K372&amp;" "&amp;'All Data'!$M372))),OR($BA$10="",ISNUMBER(SEARCH($BA$10,'All Data'!$K372&amp;" "&amp;'All Data'!$M372))),OR($BA$11="",ISNUMBER(SEARCH($BA$11,'All Data'!$K372&amp;" "&amp;'All Data'!$M372))),OR($BA$12="",ISNUMBER(SEARCH($BA$12,'All Data'!$K372&amp;" "&amp;'All Data'!$M372))),OR($BA$13="",ISNUMBER(SEARCH($BA$13,'All Data'!$K372&amp;" "&amp;'All Data'!$M372))),OR($BA$14="",ISNUMBER(SEARCH($BA$14,'All Data'!$K372&amp;" "&amp;'All Data'!$M372))),OR($BA$15="",ISNUMBER(SEARCH($BA$15,'All Data'!$K372&amp;" "&amp;'All Data'!$M372)))),1,0)</f>
        <v>1</v>
      </c>
      <c r="H372">
        <f t="shared" si="30"/>
        <v>0</v>
      </c>
      <c r="I372">
        <f>IF(AND($H372=1,'All Data'!$C372&lt;&gt;"",COUNTIFS($H$2:H371,1,'All Data'!$C$2:$C371,'All Data'!$C372)=0),1,0)</f>
        <v>0</v>
      </c>
      <c r="J372" t="str">
        <f>IF($I372=1,SUM($I$2:I372),"")</f>
        <v/>
      </c>
      <c r="K372">
        <f t="shared" si="31"/>
        <v>0</v>
      </c>
      <c r="L372">
        <f>IF(AND($K372=1,'All Data'!$D372&lt;&gt;"",COUNTIFS($K$2:K371,1,'All Data'!$D$2:$D371,'All Data'!$D372)=0),1,0)</f>
        <v>0</v>
      </c>
      <c r="M372" t="str">
        <f>IF($L372=1,SUM($L$2:L372),"")</f>
        <v/>
      </c>
      <c r="N372">
        <f t="shared" si="32"/>
        <v>0</v>
      </c>
      <c r="O372">
        <f>IF(AND($N372=1,'All Data'!$E372&lt;&gt;"",COUNTIFS($N$2:N371,1,'All Data'!$E$2:$E371,'All Data'!$E372)=0),1,0)</f>
        <v>0</v>
      </c>
      <c r="P372" t="str">
        <f>IF($O372=1,SUM($O$2:O372),"")</f>
        <v/>
      </c>
      <c r="Q372">
        <f t="shared" si="33"/>
        <v>0</v>
      </c>
      <c r="R372">
        <f>IF(AND($Q372=1,'All Data'!$F372&lt;&gt;"",COUNTIFS($Q$2:Q371,1,'All Data'!$F$2:$F371,'All Data'!$F372)=0),1,0)</f>
        <v>0</v>
      </c>
      <c r="S372" t="str">
        <f>IF($R372=1,SUM($R$2:R372),"")</f>
        <v/>
      </c>
      <c r="T372">
        <f t="shared" si="34"/>
        <v>0</v>
      </c>
      <c r="U372">
        <f>IF(AND($T372=1,'All Data'!$G372&lt;&gt;"",COUNTIFS($T$2:T371,1,'All Data'!$G$2:$G371,'All Data'!$G372)=0),1,0)</f>
        <v>0</v>
      </c>
      <c r="V372" t="str">
        <f>IF($U372=1,SUM($U$2:U372),"")</f>
        <v/>
      </c>
      <c r="W372">
        <f t="shared" si="35"/>
        <v>0</v>
      </c>
      <c r="X372" t="str">
        <f>IF($W372=1,SUM($W$2:W372),"")</f>
        <v/>
      </c>
    </row>
    <row r="373" spans="1:24" x14ac:dyDescent="0.3">
      <c r="A373">
        <f>IF(OR($BA1="Any",$BA1=""),1,IF('All Data'!$B373=$BA1,1,0))</f>
        <v>0</v>
      </c>
      <c r="B373">
        <f>IF(OR($BA2="Any",$BA2=""),1,IF('All Data'!$C373=$BA2,1,0))</f>
        <v>1</v>
      </c>
      <c r="C373">
        <f>IF(OR($BA3="Any",$BA3=""),1,IF('All Data'!$D373=$BA3,1,0))</f>
        <v>1</v>
      </c>
      <c r="D373">
        <f>IF(OR($BA4="Any",$BA4=""),1,IF('All Data'!$E373=$BA4,1,0))</f>
        <v>1</v>
      </c>
      <c r="E373">
        <f>IF(OR($BA5="Any",$BA5=""),1,IF('All Data'!$F373=$BA5,1,0))</f>
        <v>1</v>
      </c>
      <c r="F373">
        <f>IF(OR($BA6="Any",$BA6=""),1,IF('All Data'!$G373=$BA6,1,0))</f>
        <v>0</v>
      </c>
      <c r="G373">
        <f>IF(AND(OR($BA$8="",ISNUMBER(SEARCH($BA$8,'All Data'!$K373&amp;" "&amp;'All Data'!$M373))),OR($BA$9="",ISNUMBER(SEARCH($BA$9,'All Data'!$K373&amp;" "&amp;'All Data'!$M373))),OR($BA$10="",ISNUMBER(SEARCH($BA$10,'All Data'!$K373&amp;" "&amp;'All Data'!$M373))),OR($BA$11="",ISNUMBER(SEARCH($BA$11,'All Data'!$K373&amp;" "&amp;'All Data'!$M373))),OR($BA$12="",ISNUMBER(SEARCH($BA$12,'All Data'!$K373&amp;" "&amp;'All Data'!$M373))),OR($BA$13="",ISNUMBER(SEARCH($BA$13,'All Data'!$K373&amp;" "&amp;'All Data'!$M373))),OR($BA$14="",ISNUMBER(SEARCH($BA$14,'All Data'!$K373&amp;" "&amp;'All Data'!$M373))),OR($BA$15="",ISNUMBER(SEARCH($BA$15,'All Data'!$K373&amp;" "&amp;'All Data'!$M373)))),1,0)</f>
        <v>1</v>
      </c>
      <c r="H373">
        <f t="shared" si="30"/>
        <v>0</v>
      </c>
      <c r="I373">
        <f>IF(AND($H373=1,'All Data'!$C373&lt;&gt;"",COUNTIFS($H$2:H372,1,'All Data'!$C$2:$C372,'All Data'!$C373)=0),1,0)</f>
        <v>0</v>
      </c>
      <c r="J373" t="str">
        <f>IF($I373=1,SUM($I$2:I373),"")</f>
        <v/>
      </c>
      <c r="K373">
        <f t="shared" si="31"/>
        <v>0</v>
      </c>
      <c r="L373">
        <f>IF(AND($K373=1,'All Data'!$D373&lt;&gt;"",COUNTIFS($K$2:K372,1,'All Data'!$D$2:$D372,'All Data'!$D373)=0),1,0)</f>
        <v>0</v>
      </c>
      <c r="M373" t="str">
        <f>IF($L373=1,SUM($L$2:L373),"")</f>
        <v/>
      </c>
      <c r="N373">
        <f t="shared" si="32"/>
        <v>0</v>
      </c>
      <c r="O373">
        <f>IF(AND($N373=1,'All Data'!$E373&lt;&gt;"",COUNTIFS($N$2:N372,1,'All Data'!$E$2:$E372,'All Data'!$E373)=0),1,0)</f>
        <v>0</v>
      </c>
      <c r="P373" t="str">
        <f>IF($O373=1,SUM($O$2:O373),"")</f>
        <v/>
      </c>
      <c r="Q373">
        <f t="shared" si="33"/>
        <v>0</v>
      </c>
      <c r="R373">
        <f>IF(AND($Q373=1,'All Data'!$F373&lt;&gt;"",COUNTIFS($Q$2:Q372,1,'All Data'!$F$2:$F372,'All Data'!$F373)=0),1,0)</f>
        <v>0</v>
      </c>
      <c r="S373" t="str">
        <f>IF($R373=1,SUM($R$2:R373),"")</f>
        <v/>
      </c>
      <c r="T373">
        <f t="shared" si="34"/>
        <v>0</v>
      </c>
      <c r="U373">
        <f>IF(AND($T373=1,'All Data'!$G373&lt;&gt;"",COUNTIFS($T$2:T372,1,'All Data'!$G$2:$G372,'All Data'!$G373)=0),1,0)</f>
        <v>0</v>
      </c>
      <c r="V373" t="str">
        <f>IF($U373=1,SUM($U$2:U373),"")</f>
        <v/>
      </c>
      <c r="W373">
        <f t="shared" si="35"/>
        <v>0</v>
      </c>
      <c r="X373" t="str">
        <f>IF($W373=1,SUM($W$2:W373),"")</f>
        <v/>
      </c>
    </row>
    <row r="374" spans="1:24" x14ac:dyDescent="0.3">
      <c r="A374">
        <f>IF(OR($BA1="Any",$BA1=""),1,IF('All Data'!$B374=$BA1,1,0))</f>
        <v>0</v>
      </c>
      <c r="B374">
        <f>IF(OR($BA2="Any",$BA2=""),1,IF('All Data'!$C374=$BA2,1,0))</f>
        <v>1</v>
      </c>
      <c r="C374">
        <f>IF(OR($BA3="Any",$BA3=""),1,IF('All Data'!$D374=$BA3,1,0))</f>
        <v>1</v>
      </c>
      <c r="D374">
        <f>IF(OR($BA4="Any",$BA4=""),1,IF('All Data'!$E374=$BA4,1,0))</f>
        <v>1</v>
      </c>
      <c r="E374">
        <f>IF(OR($BA5="Any",$BA5=""),1,IF('All Data'!$F374=$BA5,1,0))</f>
        <v>1</v>
      </c>
      <c r="F374">
        <f>IF(OR($BA6="Any",$BA6=""),1,IF('All Data'!$G374=$BA6,1,0))</f>
        <v>0</v>
      </c>
      <c r="G374">
        <f>IF(AND(OR($BA$8="",ISNUMBER(SEARCH($BA$8,'All Data'!$K374&amp;" "&amp;'All Data'!$M374))),OR($BA$9="",ISNUMBER(SEARCH($BA$9,'All Data'!$K374&amp;" "&amp;'All Data'!$M374))),OR($BA$10="",ISNUMBER(SEARCH($BA$10,'All Data'!$K374&amp;" "&amp;'All Data'!$M374))),OR($BA$11="",ISNUMBER(SEARCH($BA$11,'All Data'!$K374&amp;" "&amp;'All Data'!$M374))),OR($BA$12="",ISNUMBER(SEARCH($BA$12,'All Data'!$K374&amp;" "&amp;'All Data'!$M374))),OR($BA$13="",ISNUMBER(SEARCH($BA$13,'All Data'!$K374&amp;" "&amp;'All Data'!$M374))),OR($BA$14="",ISNUMBER(SEARCH($BA$14,'All Data'!$K374&amp;" "&amp;'All Data'!$M374))),OR($BA$15="",ISNUMBER(SEARCH($BA$15,'All Data'!$K374&amp;" "&amp;'All Data'!$M374)))),1,0)</f>
        <v>1</v>
      </c>
      <c r="H374">
        <f t="shared" si="30"/>
        <v>0</v>
      </c>
      <c r="I374">
        <f>IF(AND($H374=1,'All Data'!$C374&lt;&gt;"",COUNTIFS($H$2:H373,1,'All Data'!$C$2:$C373,'All Data'!$C374)=0),1,0)</f>
        <v>0</v>
      </c>
      <c r="J374" t="str">
        <f>IF($I374=1,SUM($I$2:I374),"")</f>
        <v/>
      </c>
      <c r="K374">
        <f t="shared" si="31"/>
        <v>0</v>
      </c>
      <c r="L374">
        <f>IF(AND($K374=1,'All Data'!$D374&lt;&gt;"",COUNTIFS($K$2:K373,1,'All Data'!$D$2:$D373,'All Data'!$D374)=0),1,0)</f>
        <v>0</v>
      </c>
      <c r="M374" t="str">
        <f>IF($L374=1,SUM($L$2:L374),"")</f>
        <v/>
      </c>
      <c r="N374">
        <f t="shared" si="32"/>
        <v>0</v>
      </c>
      <c r="O374">
        <f>IF(AND($N374=1,'All Data'!$E374&lt;&gt;"",COUNTIFS($N$2:N373,1,'All Data'!$E$2:$E373,'All Data'!$E374)=0),1,0)</f>
        <v>0</v>
      </c>
      <c r="P374" t="str">
        <f>IF($O374=1,SUM($O$2:O374),"")</f>
        <v/>
      </c>
      <c r="Q374">
        <f t="shared" si="33"/>
        <v>0</v>
      </c>
      <c r="R374">
        <f>IF(AND($Q374=1,'All Data'!$F374&lt;&gt;"",COUNTIFS($Q$2:Q373,1,'All Data'!$F$2:$F373,'All Data'!$F374)=0),1,0)</f>
        <v>0</v>
      </c>
      <c r="S374" t="str">
        <f>IF($R374=1,SUM($R$2:R374),"")</f>
        <v/>
      </c>
      <c r="T374">
        <f t="shared" si="34"/>
        <v>0</v>
      </c>
      <c r="U374">
        <f>IF(AND($T374=1,'All Data'!$G374&lt;&gt;"",COUNTIFS($T$2:T373,1,'All Data'!$G$2:$G373,'All Data'!$G374)=0),1,0)</f>
        <v>0</v>
      </c>
      <c r="V374" t="str">
        <f>IF($U374=1,SUM($U$2:U374),"")</f>
        <v/>
      </c>
      <c r="W374">
        <f t="shared" si="35"/>
        <v>0</v>
      </c>
      <c r="X374" t="str">
        <f>IF($W374=1,SUM($W$2:W374),"")</f>
        <v/>
      </c>
    </row>
    <row r="375" spans="1:24" x14ac:dyDescent="0.3">
      <c r="A375">
        <f>IF(OR($BA1="Any",$BA1=""),1,IF('All Data'!$B375=$BA1,1,0))</f>
        <v>0</v>
      </c>
      <c r="B375">
        <f>IF(OR($BA2="Any",$BA2=""),1,IF('All Data'!$C375=$BA2,1,0))</f>
        <v>1</v>
      </c>
      <c r="C375">
        <f>IF(OR($BA3="Any",$BA3=""),1,IF('All Data'!$D375=$BA3,1,0))</f>
        <v>1</v>
      </c>
      <c r="D375">
        <f>IF(OR($BA4="Any",$BA4=""),1,IF('All Data'!$E375=$BA4,1,0))</f>
        <v>1</v>
      </c>
      <c r="E375">
        <f>IF(OR($BA5="Any",$BA5=""),1,IF('All Data'!$F375=$BA5,1,0))</f>
        <v>1</v>
      </c>
      <c r="F375">
        <f>IF(OR($BA6="Any",$BA6=""),1,IF('All Data'!$G375=$BA6,1,0))</f>
        <v>1</v>
      </c>
      <c r="G375">
        <f>IF(AND(OR($BA$8="",ISNUMBER(SEARCH($BA$8,'All Data'!$K375&amp;" "&amp;'All Data'!$M375))),OR($BA$9="",ISNUMBER(SEARCH($BA$9,'All Data'!$K375&amp;" "&amp;'All Data'!$M375))),OR($BA$10="",ISNUMBER(SEARCH($BA$10,'All Data'!$K375&amp;" "&amp;'All Data'!$M375))),OR($BA$11="",ISNUMBER(SEARCH($BA$11,'All Data'!$K375&amp;" "&amp;'All Data'!$M375))),OR($BA$12="",ISNUMBER(SEARCH($BA$12,'All Data'!$K375&amp;" "&amp;'All Data'!$M375))),OR($BA$13="",ISNUMBER(SEARCH($BA$13,'All Data'!$K375&amp;" "&amp;'All Data'!$M375))),OR($BA$14="",ISNUMBER(SEARCH($BA$14,'All Data'!$K375&amp;" "&amp;'All Data'!$M375))),OR($BA$15="",ISNUMBER(SEARCH($BA$15,'All Data'!$K375&amp;" "&amp;'All Data'!$M375)))),1,0)</f>
        <v>1</v>
      </c>
      <c r="H375">
        <f t="shared" si="30"/>
        <v>0</v>
      </c>
      <c r="I375">
        <f>IF(AND($H375=1,'All Data'!$C375&lt;&gt;"",COUNTIFS($H$2:H374,1,'All Data'!$C$2:$C374,'All Data'!$C375)=0),1,0)</f>
        <v>0</v>
      </c>
      <c r="J375" t="str">
        <f>IF($I375=1,SUM($I$2:I375),"")</f>
        <v/>
      </c>
      <c r="K375">
        <f t="shared" si="31"/>
        <v>0</v>
      </c>
      <c r="L375">
        <f>IF(AND($K375=1,'All Data'!$D375&lt;&gt;"",COUNTIFS($K$2:K374,1,'All Data'!$D$2:$D374,'All Data'!$D375)=0),1,0)</f>
        <v>0</v>
      </c>
      <c r="M375" t="str">
        <f>IF($L375=1,SUM($L$2:L375),"")</f>
        <v/>
      </c>
      <c r="N375">
        <f t="shared" si="32"/>
        <v>0</v>
      </c>
      <c r="O375">
        <f>IF(AND($N375=1,'All Data'!$E375&lt;&gt;"",COUNTIFS($N$2:N374,1,'All Data'!$E$2:$E374,'All Data'!$E375)=0),1,0)</f>
        <v>0</v>
      </c>
      <c r="P375" t="str">
        <f>IF($O375=1,SUM($O$2:O375),"")</f>
        <v/>
      </c>
      <c r="Q375">
        <f t="shared" si="33"/>
        <v>0</v>
      </c>
      <c r="R375">
        <f>IF(AND($Q375=1,'All Data'!$F375&lt;&gt;"",COUNTIFS($Q$2:Q374,1,'All Data'!$F$2:$F374,'All Data'!$F375)=0),1,0)</f>
        <v>0</v>
      </c>
      <c r="S375" t="str">
        <f>IF($R375=1,SUM($R$2:R375),"")</f>
        <v/>
      </c>
      <c r="T375">
        <f t="shared" si="34"/>
        <v>0</v>
      </c>
      <c r="U375">
        <f>IF(AND($T375=1,'All Data'!$G375&lt;&gt;"",COUNTIFS($T$2:T374,1,'All Data'!$G$2:$G374,'All Data'!$G375)=0),1,0)</f>
        <v>0</v>
      </c>
      <c r="V375" t="str">
        <f>IF($U375=1,SUM($U$2:U375),"")</f>
        <v/>
      </c>
      <c r="W375">
        <f t="shared" si="35"/>
        <v>0</v>
      </c>
      <c r="X375" t="str">
        <f>IF($W375=1,SUM($W$2:W375),"")</f>
        <v/>
      </c>
    </row>
    <row r="376" spans="1:24" x14ac:dyDescent="0.3">
      <c r="A376">
        <f>IF(OR($BA1="Any",$BA1=""),1,IF('All Data'!$B376=$BA1,1,0))</f>
        <v>0</v>
      </c>
      <c r="B376">
        <f>IF(OR($BA2="Any",$BA2=""),1,IF('All Data'!$C376=$BA2,1,0))</f>
        <v>1</v>
      </c>
      <c r="C376">
        <f>IF(OR($BA3="Any",$BA3=""),1,IF('All Data'!$D376=$BA3,1,0))</f>
        <v>1</v>
      </c>
      <c r="D376">
        <f>IF(OR($BA4="Any",$BA4=""),1,IF('All Data'!$E376=$BA4,1,0))</f>
        <v>1</v>
      </c>
      <c r="E376">
        <f>IF(OR($BA5="Any",$BA5=""),1,IF('All Data'!$F376=$BA5,1,0))</f>
        <v>1</v>
      </c>
      <c r="F376">
        <f>IF(OR($BA6="Any",$BA6=""),1,IF('All Data'!$G376=$BA6,1,0))</f>
        <v>0</v>
      </c>
      <c r="G376">
        <f>IF(AND(OR($BA$8="",ISNUMBER(SEARCH($BA$8,'All Data'!$K376&amp;" "&amp;'All Data'!$M376))),OR($BA$9="",ISNUMBER(SEARCH($BA$9,'All Data'!$K376&amp;" "&amp;'All Data'!$M376))),OR($BA$10="",ISNUMBER(SEARCH($BA$10,'All Data'!$K376&amp;" "&amp;'All Data'!$M376))),OR($BA$11="",ISNUMBER(SEARCH($BA$11,'All Data'!$K376&amp;" "&amp;'All Data'!$M376))),OR($BA$12="",ISNUMBER(SEARCH($BA$12,'All Data'!$K376&amp;" "&amp;'All Data'!$M376))),OR($BA$13="",ISNUMBER(SEARCH($BA$13,'All Data'!$K376&amp;" "&amp;'All Data'!$M376))),OR($BA$14="",ISNUMBER(SEARCH($BA$14,'All Data'!$K376&amp;" "&amp;'All Data'!$M376))),OR($BA$15="",ISNUMBER(SEARCH($BA$15,'All Data'!$K376&amp;" "&amp;'All Data'!$M376)))),1,0)</f>
        <v>1</v>
      </c>
      <c r="H376">
        <f t="shared" si="30"/>
        <v>0</v>
      </c>
      <c r="I376">
        <f>IF(AND($H376=1,'All Data'!$C376&lt;&gt;"",COUNTIFS($H$2:H375,1,'All Data'!$C$2:$C375,'All Data'!$C376)=0),1,0)</f>
        <v>0</v>
      </c>
      <c r="J376" t="str">
        <f>IF($I376=1,SUM($I$2:I376),"")</f>
        <v/>
      </c>
      <c r="K376">
        <f t="shared" si="31"/>
        <v>0</v>
      </c>
      <c r="L376">
        <f>IF(AND($K376=1,'All Data'!$D376&lt;&gt;"",COUNTIFS($K$2:K375,1,'All Data'!$D$2:$D375,'All Data'!$D376)=0),1,0)</f>
        <v>0</v>
      </c>
      <c r="M376" t="str">
        <f>IF($L376=1,SUM($L$2:L376),"")</f>
        <v/>
      </c>
      <c r="N376">
        <f t="shared" si="32"/>
        <v>0</v>
      </c>
      <c r="O376">
        <f>IF(AND($N376=1,'All Data'!$E376&lt;&gt;"",COUNTIFS($N$2:N375,1,'All Data'!$E$2:$E375,'All Data'!$E376)=0),1,0)</f>
        <v>0</v>
      </c>
      <c r="P376" t="str">
        <f>IF($O376=1,SUM($O$2:O376),"")</f>
        <v/>
      </c>
      <c r="Q376">
        <f t="shared" si="33"/>
        <v>0</v>
      </c>
      <c r="R376">
        <f>IF(AND($Q376=1,'All Data'!$F376&lt;&gt;"",COUNTIFS($Q$2:Q375,1,'All Data'!$F$2:$F375,'All Data'!$F376)=0),1,0)</f>
        <v>0</v>
      </c>
      <c r="S376" t="str">
        <f>IF($R376=1,SUM($R$2:R376),"")</f>
        <v/>
      </c>
      <c r="T376">
        <f t="shared" si="34"/>
        <v>0</v>
      </c>
      <c r="U376">
        <f>IF(AND($T376=1,'All Data'!$G376&lt;&gt;"",COUNTIFS($T$2:T375,1,'All Data'!$G$2:$G375,'All Data'!$G376)=0),1,0)</f>
        <v>0</v>
      </c>
      <c r="V376" t="str">
        <f>IF($U376=1,SUM($U$2:U376),"")</f>
        <v/>
      </c>
      <c r="W376">
        <f t="shared" si="35"/>
        <v>0</v>
      </c>
      <c r="X376" t="str">
        <f>IF($W376=1,SUM($W$2:W376),"")</f>
        <v/>
      </c>
    </row>
    <row r="377" spans="1:24" x14ac:dyDescent="0.3">
      <c r="A377">
        <f>IF(OR($BA1="Any",$BA1=""),1,IF('All Data'!$B377=$BA1,1,0))</f>
        <v>0</v>
      </c>
      <c r="B377">
        <f>IF(OR($BA2="Any",$BA2=""),1,IF('All Data'!$C377=$BA2,1,0))</f>
        <v>1</v>
      </c>
      <c r="C377">
        <f>IF(OR($BA3="Any",$BA3=""),1,IF('All Data'!$D377=$BA3,1,0))</f>
        <v>1</v>
      </c>
      <c r="D377">
        <f>IF(OR($BA4="Any",$BA4=""),1,IF('All Data'!$E377=$BA4,1,0))</f>
        <v>1</v>
      </c>
      <c r="E377">
        <f>IF(OR($BA5="Any",$BA5=""),1,IF('All Data'!$F377=$BA5,1,0))</f>
        <v>1</v>
      </c>
      <c r="F377">
        <f>IF(OR($BA6="Any",$BA6=""),1,IF('All Data'!$G377=$BA6,1,0))</f>
        <v>0</v>
      </c>
      <c r="G377">
        <f>IF(AND(OR($BA$8="",ISNUMBER(SEARCH($BA$8,'All Data'!$K377&amp;" "&amp;'All Data'!$M377))),OR($BA$9="",ISNUMBER(SEARCH($BA$9,'All Data'!$K377&amp;" "&amp;'All Data'!$M377))),OR($BA$10="",ISNUMBER(SEARCH($BA$10,'All Data'!$K377&amp;" "&amp;'All Data'!$M377))),OR($BA$11="",ISNUMBER(SEARCH($BA$11,'All Data'!$K377&amp;" "&amp;'All Data'!$M377))),OR($BA$12="",ISNUMBER(SEARCH($BA$12,'All Data'!$K377&amp;" "&amp;'All Data'!$M377))),OR($BA$13="",ISNUMBER(SEARCH($BA$13,'All Data'!$K377&amp;" "&amp;'All Data'!$M377))),OR($BA$14="",ISNUMBER(SEARCH($BA$14,'All Data'!$K377&amp;" "&amp;'All Data'!$M377))),OR($BA$15="",ISNUMBER(SEARCH($BA$15,'All Data'!$K377&amp;" "&amp;'All Data'!$M377)))),1,0)</f>
        <v>1</v>
      </c>
      <c r="H377">
        <f t="shared" si="30"/>
        <v>0</v>
      </c>
      <c r="I377">
        <f>IF(AND($H377=1,'All Data'!$C377&lt;&gt;"",COUNTIFS($H$2:H376,1,'All Data'!$C$2:$C376,'All Data'!$C377)=0),1,0)</f>
        <v>0</v>
      </c>
      <c r="J377" t="str">
        <f>IF($I377=1,SUM($I$2:I377),"")</f>
        <v/>
      </c>
      <c r="K377">
        <f t="shared" si="31"/>
        <v>0</v>
      </c>
      <c r="L377">
        <f>IF(AND($K377=1,'All Data'!$D377&lt;&gt;"",COUNTIFS($K$2:K376,1,'All Data'!$D$2:$D376,'All Data'!$D377)=0),1,0)</f>
        <v>0</v>
      </c>
      <c r="M377" t="str">
        <f>IF($L377=1,SUM($L$2:L377),"")</f>
        <v/>
      </c>
      <c r="N377">
        <f t="shared" si="32"/>
        <v>0</v>
      </c>
      <c r="O377">
        <f>IF(AND($N377=1,'All Data'!$E377&lt;&gt;"",COUNTIFS($N$2:N376,1,'All Data'!$E$2:$E376,'All Data'!$E377)=0),1,0)</f>
        <v>0</v>
      </c>
      <c r="P377" t="str">
        <f>IF($O377=1,SUM($O$2:O377),"")</f>
        <v/>
      </c>
      <c r="Q377">
        <f t="shared" si="33"/>
        <v>0</v>
      </c>
      <c r="R377">
        <f>IF(AND($Q377=1,'All Data'!$F377&lt;&gt;"",COUNTIFS($Q$2:Q376,1,'All Data'!$F$2:$F376,'All Data'!$F377)=0),1,0)</f>
        <v>0</v>
      </c>
      <c r="S377" t="str">
        <f>IF($R377=1,SUM($R$2:R377),"")</f>
        <v/>
      </c>
      <c r="T377">
        <f t="shared" si="34"/>
        <v>0</v>
      </c>
      <c r="U377">
        <f>IF(AND($T377=1,'All Data'!$G377&lt;&gt;"",COUNTIFS($T$2:T376,1,'All Data'!$G$2:$G376,'All Data'!$G377)=0),1,0)</f>
        <v>0</v>
      </c>
      <c r="V377" t="str">
        <f>IF($U377=1,SUM($U$2:U377),"")</f>
        <v/>
      </c>
      <c r="W377">
        <f t="shared" si="35"/>
        <v>0</v>
      </c>
      <c r="X377" t="str">
        <f>IF($W377=1,SUM($W$2:W377),"")</f>
        <v/>
      </c>
    </row>
    <row r="378" spans="1:24" x14ac:dyDescent="0.3">
      <c r="A378">
        <f>IF(OR($BA1="Any",$BA1=""),1,IF('All Data'!$B378=$BA1,1,0))</f>
        <v>0</v>
      </c>
      <c r="B378">
        <f>IF(OR($BA2="Any",$BA2=""),1,IF('All Data'!$C378=$BA2,1,0))</f>
        <v>1</v>
      </c>
      <c r="C378">
        <f>IF(OR($BA3="Any",$BA3=""),1,IF('All Data'!$D378=$BA3,1,0))</f>
        <v>1</v>
      </c>
      <c r="D378">
        <f>IF(OR($BA4="Any",$BA4=""),1,IF('All Data'!$E378=$BA4,1,0))</f>
        <v>1</v>
      </c>
      <c r="E378">
        <f>IF(OR($BA5="Any",$BA5=""),1,IF('All Data'!$F378=$BA5,1,0))</f>
        <v>1</v>
      </c>
      <c r="F378">
        <f>IF(OR($BA6="Any",$BA6=""),1,IF('All Data'!$G378=$BA6,1,0))</f>
        <v>0</v>
      </c>
      <c r="G378">
        <f>IF(AND(OR($BA$8="",ISNUMBER(SEARCH($BA$8,'All Data'!$K378&amp;" "&amp;'All Data'!$M378))),OR($BA$9="",ISNUMBER(SEARCH($BA$9,'All Data'!$K378&amp;" "&amp;'All Data'!$M378))),OR($BA$10="",ISNUMBER(SEARCH($BA$10,'All Data'!$K378&amp;" "&amp;'All Data'!$M378))),OR($BA$11="",ISNUMBER(SEARCH($BA$11,'All Data'!$K378&amp;" "&amp;'All Data'!$M378))),OR($BA$12="",ISNUMBER(SEARCH($BA$12,'All Data'!$K378&amp;" "&amp;'All Data'!$M378))),OR($BA$13="",ISNUMBER(SEARCH($BA$13,'All Data'!$K378&amp;" "&amp;'All Data'!$M378))),OR($BA$14="",ISNUMBER(SEARCH($BA$14,'All Data'!$K378&amp;" "&amp;'All Data'!$M378))),OR($BA$15="",ISNUMBER(SEARCH($BA$15,'All Data'!$K378&amp;" "&amp;'All Data'!$M378)))),1,0)</f>
        <v>1</v>
      </c>
      <c r="H378">
        <f t="shared" si="30"/>
        <v>0</v>
      </c>
      <c r="I378">
        <f>IF(AND($H378=1,'All Data'!$C378&lt;&gt;"",COUNTIFS($H$2:H377,1,'All Data'!$C$2:$C377,'All Data'!$C378)=0),1,0)</f>
        <v>0</v>
      </c>
      <c r="J378" t="str">
        <f>IF($I378=1,SUM($I$2:I378),"")</f>
        <v/>
      </c>
      <c r="K378">
        <f t="shared" si="31"/>
        <v>0</v>
      </c>
      <c r="L378">
        <f>IF(AND($K378=1,'All Data'!$D378&lt;&gt;"",COUNTIFS($K$2:K377,1,'All Data'!$D$2:$D377,'All Data'!$D378)=0),1,0)</f>
        <v>0</v>
      </c>
      <c r="M378" t="str">
        <f>IF($L378=1,SUM($L$2:L378),"")</f>
        <v/>
      </c>
      <c r="N378">
        <f t="shared" si="32"/>
        <v>0</v>
      </c>
      <c r="O378">
        <f>IF(AND($N378=1,'All Data'!$E378&lt;&gt;"",COUNTIFS($N$2:N377,1,'All Data'!$E$2:$E377,'All Data'!$E378)=0),1,0)</f>
        <v>0</v>
      </c>
      <c r="P378" t="str">
        <f>IF($O378=1,SUM($O$2:O378),"")</f>
        <v/>
      </c>
      <c r="Q378">
        <f t="shared" si="33"/>
        <v>0</v>
      </c>
      <c r="R378">
        <f>IF(AND($Q378=1,'All Data'!$F378&lt;&gt;"",COUNTIFS($Q$2:Q377,1,'All Data'!$F$2:$F377,'All Data'!$F378)=0),1,0)</f>
        <v>0</v>
      </c>
      <c r="S378" t="str">
        <f>IF($R378=1,SUM($R$2:R378),"")</f>
        <v/>
      </c>
      <c r="T378">
        <f t="shared" si="34"/>
        <v>0</v>
      </c>
      <c r="U378">
        <f>IF(AND($T378=1,'All Data'!$G378&lt;&gt;"",COUNTIFS($T$2:T377,1,'All Data'!$G$2:$G377,'All Data'!$G378)=0),1,0)</f>
        <v>0</v>
      </c>
      <c r="V378" t="str">
        <f>IF($U378=1,SUM($U$2:U378),"")</f>
        <v/>
      </c>
      <c r="W378">
        <f t="shared" si="35"/>
        <v>0</v>
      </c>
      <c r="X378" t="str">
        <f>IF($W378=1,SUM($W$2:W378),"")</f>
        <v/>
      </c>
    </row>
    <row r="379" spans="1:24" x14ac:dyDescent="0.3">
      <c r="A379">
        <f>IF(OR($BA1="Any",$BA1=""),1,IF('All Data'!$B379=$BA1,1,0))</f>
        <v>0</v>
      </c>
      <c r="B379">
        <f>IF(OR($BA2="Any",$BA2=""),1,IF('All Data'!$C379=$BA2,1,0))</f>
        <v>1</v>
      </c>
      <c r="C379">
        <f>IF(OR($BA3="Any",$BA3=""),1,IF('All Data'!$D379=$BA3,1,0))</f>
        <v>1</v>
      </c>
      <c r="D379">
        <f>IF(OR($BA4="Any",$BA4=""),1,IF('All Data'!$E379=$BA4,1,0))</f>
        <v>1</v>
      </c>
      <c r="E379">
        <f>IF(OR($BA5="Any",$BA5=""),1,IF('All Data'!$F379=$BA5,1,0))</f>
        <v>1</v>
      </c>
      <c r="F379">
        <f>IF(OR($BA6="Any",$BA6=""),1,IF('All Data'!$G379=$BA6,1,0))</f>
        <v>0</v>
      </c>
      <c r="G379">
        <f>IF(AND(OR($BA$8="",ISNUMBER(SEARCH($BA$8,'All Data'!$K379&amp;" "&amp;'All Data'!$M379))),OR($BA$9="",ISNUMBER(SEARCH($BA$9,'All Data'!$K379&amp;" "&amp;'All Data'!$M379))),OR($BA$10="",ISNUMBER(SEARCH($BA$10,'All Data'!$K379&amp;" "&amp;'All Data'!$M379))),OR($BA$11="",ISNUMBER(SEARCH($BA$11,'All Data'!$K379&amp;" "&amp;'All Data'!$M379))),OR($BA$12="",ISNUMBER(SEARCH($BA$12,'All Data'!$K379&amp;" "&amp;'All Data'!$M379))),OR($BA$13="",ISNUMBER(SEARCH($BA$13,'All Data'!$K379&amp;" "&amp;'All Data'!$M379))),OR($BA$14="",ISNUMBER(SEARCH($BA$14,'All Data'!$K379&amp;" "&amp;'All Data'!$M379))),OR($BA$15="",ISNUMBER(SEARCH($BA$15,'All Data'!$K379&amp;" "&amp;'All Data'!$M379)))),1,0)</f>
        <v>1</v>
      </c>
      <c r="H379">
        <f t="shared" si="30"/>
        <v>0</v>
      </c>
      <c r="I379">
        <f>IF(AND($H379=1,'All Data'!$C379&lt;&gt;"",COUNTIFS($H$2:H378,1,'All Data'!$C$2:$C378,'All Data'!$C379)=0),1,0)</f>
        <v>0</v>
      </c>
      <c r="J379" t="str">
        <f>IF($I379=1,SUM($I$2:I379),"")</f>
        <v/>
      </c>
      <c r="K379">
        <f t="shared" si="31"/>
        <v>0</v>
      </c>
      <c r="L379">
        <f>IF(AND($K379=1,'All Data'!$D379&lt;&gt;"",COUNTIFS($K$2:K378,1,'All Data'!$D$2:$D378,'All Data'!$D379)=0),1,0)</f>
        <v>0</v>
      </c>
      <c r="M379" t="str">
        <f>IF($L379=1,SUM($L$2:L379),"")</f>
        <v/>
      </c>
      <c r="N379">
        <f t="shared" si="32"/>
        <v>0</v>
      </c>
      <c r="O379">
        <f>IF(AND($N379=1,'All Data'!$E379&lt;&gt;"",COUNTIFS($N$2:N378,1,'All Data'!$E$2:$E378,'All Data'!$E379)=0),1,0)</f>
        <v>0</v>
      </c>
      <c r="P379" t="str">
        <f>IF($O379=1,SUM($O$2:O379),"")</f>
        <v/>
      </c>
      <c r="Q379">
        <f t="shared" si="33"/>
        <v>0</v>
      </c>
      <c r="R379">
        <f>IF(AND($Q379=1,'All Data'!$F379&lt;&gt;"",COUNTIFS($Q$2:Q378,1,'All Data'!$F$2:$F378,'All Data'!$F379)=0),1,0)</f>
        <v>0</v>
      </c>
      <c r="S379" t="str">
        <f>IF($R379=1,SUM($R$2:R379),"")</f>
        <v/>
      </c>
      <c r="T379">
        <f t="shared" si="34"/>
        <v>0</v>
      </c>
      <c r="U379">
        <f>IF(AND($T379=1,'All Data'!$G379&lt;&gt;"",COUNTIFS($T$2:T378,1,'All Data'!$G$2:$G378,'All Data'!$G379)=0),1,0)</f>
        <v>0</v>
      </c>
      <c r="V379" t="str">
        <f>IF($U379=1,SUM($U$2:U379),"")</f>
        <v/>
      </c>
      <c r="W379">
        <f t="shared" si="35"/>
        <v>0</v>
      </c>
      <c r="X379" t="str">
        <f>IF($W379=1,SUM($W$2:W379),"")</f>
        <v/>
      </c>
    </row>
    <row r="380" spans="1:24" x14ac:dyDescent="0.3">
      <c r="A380">
        <f>IF(OR($BA1="Any",$BA1=""),1,IF('All Data'!$B380=$BA1,1,0))</f>
        <v>0</v>
      </c>
      <c r="B380">
        <f>IF(OR($BA2="Any",$BA2=""),1,IF('All Data'!$C380=$BA2,1,0))</f>
        <v>1</v>
      </c>
      <c r="C380">
        <f>IF(OR($BA3="Any",$BA3=""),1,IF('All Data'!$D380=$BA3,1,0))</f>
        <v>1</v>
      </c>
      <c r="D380">
        <f>IF(OR($BA4="Any",$BA4=""),1,IF('All Data'!$E380=$BA4,1,0))</f>
        <v>1</v>
      </c>
      <c r="E380">
        <f>IF(OR($BA5="Any",$BA5=""),1,IF('All Data'!$F380=$BA5,1,0))</f>
        <v>1</v>
      </c>
      <c r="F380">
        <f>IF(OR($BA6="Any",$BA6=""),1,IF('All Data'!$G380=$BA6,1,0))</f>
        <v>0</v>
      </c>
      <c r="G380">
        <f>IF(AND(OR($BA$8="",ISNUMBER(SEARCH($BA$8,'All Data'!$K380&amp;" "&amp;'All Data'!$M380))),OR($BA$9="",ISNUMBER(SEARCH($BA$9,'All Data'!$K380&amp;" "&amp;'All Data'!$M380))),OR($BA$10="",ISNUMBER(SEARCH($BA$10,'All Data'!$K380&amp;" "&amp;'All Data'!$M380))),OR($BA$11="",ISNUMBER(SEARCH($BA$11,'All Data'!$K380&amp;" "&amp;'All Data'!$M380))),OR($BA$12="",ISNUMBER(SEARCH($BA$12,'All Data'!$K380&amp;" "&amp;'All Data'!$M380))),OR($BA$13="",ISNUMBER(SEARCH($BA$13,'All Data'!$K380&amp;" "&amp;'All Data'!$M380))),OR($BA$14="",ISNUMBER(SEARCH($BA$14,'All Data'!$K380&amp;" "&amp;'All Data'!$M380))),OR($BA$15="",ISNUMBER(SEARCH($BA$15,'All Data'!$K380&amp;" "&amp;'All Data'!$M380)))),1,0)</f>
        <v>1</v>
      </c>
      <c r="H380">
        <f t="shared" si="30"/>
        <v>0</v>
      </c>
      <c r="I380">
        <f>IF(AND($H380=1,'All Data'!$C380&lt;&gt;"",COUNTIFS($H$2:H379,1,'All Data'!$C$2:$C379,'All Data'!$C380)=0),1,0)</f>
        <v>0</v>
      </c>
      <c r="J380" t="str">
        <f>IF($I380=1,SUM($I$2:I380),"")</f>
        <v/>
      </c>
      <c r="K380">
        <f t="shared" si="31"/>
        <v>0</v>
      </c>
      <c r="L380">
        <f>IF(AND($K380=1,'All Data'!$D380&lt;&gt;"",COUNTIFS($K$2:K379,1,'All Data'!$D$2:$D379,'All Data'!$D380)=0),1,0)</f>
        <v>0</v>
      </c>
      <c r="M380" t="str">
        <f>IF($L380=1,SUM($L$2:L380),"")</f>
        <v/>
      </c>
      <c r="N380">
        <f t="shared" si="32"/>
        <v>0</v>
      </c>
      <c r="O380">
        <f>IF(AND($N380=1,'All Data'!$E380&lt;&gt;"",COUNTIFS($N$2:N379,1,'All Data'!$E$2:$E379,'All Data'!$E380)=0),1,0)</f>
        <v>0</v>
      </c>
      <c r="P380" t="str">
        <f>IF($O380=1,SUM($O$2:O380),"")</f>
        <v/>
      </c>
      <c r="Q380">
        <f t="shared" si="33"/>
        <v>0</v>
      </c>
      <c r="R380">
        <f>IF(AND($Q380=1,'All Data'!$F380&lt;&gt;"",COUNTIFS($Q$2:Q379,1,'All Data'!$F$2:$F379,'All Data'!$F380)=0),1,0)</f>
        <v>0</v>
      </c>
      <c r="S380" t="str">
        <f>IF($R380=1,SUM($R$2:R380),"")</f>
        <v/>
      </c>
      <c r="T380">
        <f t="shared" si="34"/>
        <v>0</v>
      </c>
      <c r="U380">
        <f>IF(AND($T380=1,'All Data'!$G380&lt;&gt;"",COUNTIFS($T$2:T379,1,'All Data'!$G$2:$G379,'All Data'!$G380)=0),1,0)</f>
        <v>0</v>
      </c>
      <c r="V380" t="str">
        <f>IF($U380=1,SUM($U$2:U380),"")</f>
        <v/>
      </c>
      <c r="W380">
        <f t="shared" si="35"/>
        <v>0</v>
      </c>
      <c r="X380" t="str">
        <f>IF($W380=1,SUM($W$2:W380),"")</f>
        <v/>
      </c>
    </row>
    <row r="381" spans="1:24" x14ac:dyDescent="0.3">
      <c r="A381">
        <f>IF(OR($BA1="Any",$BA1=""),1,IF('All Data'!$B381=$BA1,1,0))</f>
        <v>0</v>
      </c>
      <c r="B381">
        <f>IF(OR($BA2="Any",$BA2=""),1,IF('All Data'!$C381=$BA2,1,0))</f>
        <v>1</v>
      </c>
      <c r="C381">
        <f>IF(OR($BA3="Any",$BA3=""),1,IF('All Data'!$D381=$BA3,1,0))</f>
        <v>1</v>
      </c>
      <c r="D381">
        <f>IF(OR($BA4="Any",$BA4=""),1,IF('All Data'!$E381=$BA4,1,0))</f>
        <v>1</v>
      </c>
      <c r="E381">
        <f>IF(OR($BA5="Any",$BA5=""),1,IF('All Data'!$F381=$BA5,1,0))</f>
        <v>1</v>
      </c>
      <c r="F381">
        <f>IF(OR($BA6="Any",$BA6=""),1,IF('All Data'!$G381=$BA6,1,0))</f>
        <v>1</v>
      </c>
      <c r="G381">
        <f>IF(AND(OR($BA$8="",ISNUMBER(SEARCH($BA$8,'All Data'!$K381&amp;" "&amp;'All Data'!$M381))),OR($BA$9="",ISNUMBER(SEARCH($BA$9,'All Data'!$K381&amp;" "&amp;'All Data'!$M381))),OR($BA$10="",ISNUMBER(SEARCH($BA$10,'All Data'!$K381&amp;" "&amp;'All Data'!$M381))),OR($BA$11="",ISNUMBER(SEARCH($BA$11,'All Data'!$K381&amp;" "&amp;'All Data'!$M381))),OR($BA$12="",ISNUMBER(SEARCH($BA$12,'All Data'!$K381&amp;" "&amp;'All Data'!$M381))),OR($BA$13="",ISNUMBER(SEARCH($BA$13,'All Data'!$K381&amp;" "&amp;'All Data'!$M381))),OR($BA$14="",ISNUMBER(SEARCH($BA$14,'All Data'!$K381&amp;" "&amp;'All Data'!$M381))),OR($BA$15="",ISNUMBER(SEARCH($BA$15,'All Data'!$K381&amp;" "&amp;'All Data'!$M381)))),1,0)</f>
        <v>1</v>
      </c>
      <c r="H381">
        <f t="shared" si="30"/>
        <v>0</v>
      </c>
      <c r="I381">
        <f>IF(AND($H381=1,'All Data'!$C381&lt;&gt;"",COUNTIFS($H$2:H380,1,'All Data'!$C$2:$C380,'All Data'!$C381)=0),1,0)</f>
        <v>0</v>
      </c>
      <c r="J381" t="str">
        <f>IF($I381=1,SUM($I$2:I381),"")</f>
        <v/>
      </c>
      <c r="K381">
        <f t="shared" si="31"/>
        <v>0</v>
      </c>
      <c r="L381">
        <f>IF(AND($K381=1,'All Data'!$D381&lt;&gt;"",COUNTIFS($K$2:K380,1,'All Data'!$D$2:$D380,'All Data'!$D381)=0),1,0)</f>
        <v>0</v>
      </c>
      <c r="M381" t="str">
        <f>IF($L381=1,SUM($L$2:L381),"")</f>
        <v/>
      </c>
      <c r="N381">
        <f t="shared" si="32"/>
        <v>0</v>
      </c>
      <c r="O381">
        <f>IF(AND($N381=1,'All Data'!$E381&lt;&gt;"",COUNTIFS($N$2:N380,1,'All Data'!$E$2:$E380,'All Data'!$E381)=0),1,0)</f>
        <v>0</v>
      </c>
      <c r="P381" t="str">
        <f>IF($O381=1,SUM($O$2:O381),"")</f>
        <v/>
      </c>
      <c r="Q381">
        <f t="shared" si="33"/>
        <v>0</v>
      </c>
      <c r="R381">
        <f>IF(AND($Q381=1,'All Data'!$F381&lt;&gt;"",COUNTIFS($Q$2:Q380,1,'All Data'!$F$2:$F380,'All Data'!$F381)=0),1,0)</f>
        <v>0</v>
      </c>
      <c r="S381" t="str">
        <f>IF($R381=1,SUM($R$2:R381),"")</f>
        <v/>
      </c>
      <c r="T381">
        <f t="shared" si="34"/>
        <v>0</v>
      </c>
      <c r="U381">
        <f>IF(AND($T381=1,'All Data'!$G381&lt;&gt;"",COUNTIFS($T$2:T380,1,'All Data'!$G$2:$G380,'All Data'!$G381)=0),1,0)</f>
        <v>0</v>
      </c>
      <c r="V381" t="str">
        <f>IF($U381=1,SUM($U$2:U381),"")</f>
        <v/>
      </c>
      <c r="W381">
        <f t="shared" si="35"/>
        <v>0</v>
      </c>
      <c r="X381" t="str">
        <f>IF($W381=1,SUM($W$2:W381),"")</f>
        <v/>
      </c>
    </row>
    <row r="382" spans="1:24" x14ac:dyDescent="0.3">
      <c r="A382">
        <f>IF(OR($BA1="Any",$BA1=""),1,IF('All Data'!$B382=$BA1,1,0))</f>
        <v>0</v>
      </c>
      <c r="B382">
        <f>IF(OR($BA2="Any",$BA2=""),1,IF('All Data'!$C382=$BA2,1,0))</f>
        <v>1</v>
      </c>
      <c r="C382">
        <f>IF(OR($BA3="Any",$BA3=""),1,IF('All Data'!$D382=$BA3,1,0))</f>
        <v>1</v>
      </c>
      <c r="D382">
        <f>IF(OR($BA4="Any",$BA4=""),1,IF('All Data'!$E382=$BA4,1,0))</f>
        <v>1</v>
      </c>
      <c r="E382">
        <f>IF(OR($BA5="Any",$BA5=""),1,IF('All Data'!$F382=$BA5,1,0))</f>
        <v>1</v>
      </c>
      <c r="F382">
        <f>IF(OR($BA6="Any",$BA6=""),1,IF('All Data'!$G382=$BA6,1,0))</f>
        <v>0</v>
      </c>
      <c r="G382">
        <f>IF(AND(OR($BA$8="",ISNUMBER(SEARCH($BA$8,'All Data'!$K382&amp;" "&amp;'All Data'!$M382))),OR($BA$9="",ISNUMBER(SEARCH($BA$9,'All Data'!$K382&amp;" "&amp;'All Data'!$M382))),OR($BA$10="",ISNUMBER(SEARCH($BA$10,'All Data'!$K382&amp;" "&amp;'All Data'!$M382))),OR($BA$11="",ISNUMBER(SEARCH($BA$11,'All Data'!$K382&amp;" "&amp;'All Data'!$M382))),OR($BA$12="",ISNUMBER(SEARCH($BA$12,'All Data'!$K382&amp;" "&amp;'All Data'!$M382))),OR($BA$13="",ISNUMBER(SEARCH($BA$13,'All Data'!$K382&amp;" "&amp;'All Data'!$M382))),OR($BA$14="",ISNUMBER(SEARCH($BA$14,'All Data'!$K382&amp;" "&amp;'All Data'!$M382))),OR($BA$15="",ISNUMBER(SEARCH($BA$15,'All Data'!$K382&amp;" "&amp;'All Data'!$M382)))),1,0)</f>
        <v>1</v>
      </c>
      <c r="H382">
        <f t="shared" si="30"/>
        <v>0</v>
      </c>
      <c r="I382">
        <f>IF(AND($H382=1,'All Data'!$C382&lt;&gt;"",COUNTIFS($H$2:H381,1,'All Data'!$C$2:$C381,'All Data'!$C382)=0),1,0)</f>
        <v>0</v>
      </c>
      <c r="J382" t="str">
        <f>IF($I382=1,SUM($I$2:I382),"")</f>
        <v/>
      </c>
      <c r="K382">
        <f t="shared" si="31"/>
        <v>0</v>
      </c>
      <c r="L382">
        <f>IF(AND($K382=1,'All Data'!$D382&lt;&gt;"",COUNTIFS($K$2:K381,1,'All Data'!$D$2:$D381,'All Data'!$D382)=0),1,0)</f>
        <v>0</v>
      </c>
      <c r="M382" t="str">
        <f>IF($L382=1,SUM($L$2:L382),"")</f>
        <v/>
      </c>
      <c r="N382">
        <f t="shared" si="32"/>
        <v>0</v>
      </c>
      <c r="O382">
        <f>IF(AND($N382=1,'All Data'!$E382&lt;&gt;"",COUNTIFS($N$2:N381,1,'All Data'!$E$2:$E381,'All Data'!$E382)=0),1,0)</f>
        <v>0</v>
      </c>
      <c r="P382" t="str">
        <f>IF($O382=1,SUM($O$2:O382),"")</f>
        <v/>
      </c>
      <c r="Q382">
        <f t="shared" si="33"/>
        <v>0</v>
      </c>
      <c r="R382">
        <f>IF(AND($Q382=1,'All Data'!$F382&lt;&gt;"",COUNTIFS($Q$2:Q381,1,'All Data'!$F$2:$F381,'All Data'!$F382)=0),1,0)</f>
        <v>0</v>
      </c>
      <c r="S382" t="str">
        <f>IF($R382=1,SUM($R$2:R382),"")</f>
        <v/>
      </c>
      <c r="T382">
        <f t="shared" si="34"/>
        <v>0</v>
      </c>
      <c r="U382">
        <f>IF(AND($T382=1,'All Data'!$G382&lt;&gt;"",COUNTIFS($T$2:T381,1,'All Data'!$G$2:$G381,'All Data'!$G382)=0),1,0)</f>
        <v>0</v>
      </c>
      <c r="V382" t="str">
        <f>IF($U382=1,SUM($U$2:U382),"")</f>
        <v/>
      </c>
      <c r="W382">
        <f t="shared" si="35"/>
        <v>0</v>
      </c>
      <c r="X382" t="str">
        <f>IF($W382=1,SUM($W$2:W382),"")</f>
        <v/>
      </c>
    </row>
    <row r="383" spans="1:24" x14ac:dyDescent="0.3">
      <c r="A383">
        <f>IF(OR($BA1="Any",$BA1=""),1,IF('All Data'!$B383=$BA1,1,0))</f>
        <v>0</v>
      </c>
      <c r="B383">
        <f>IF(OR($BA2="Any",$BA2=""),1,IF('All Data'!$C383=$BA2,1,0))</f>
        <v>1</v>
      </c>
      <c r="C383">
        <f>IF(OR($BA3="Any",$BA3=""),1,IF('All Data'!$D383=$BA3,1,0))</f>
        <v>1</v>
      </c>
      <c r="D383">
        <f>IF(OR($BA4="Any",$BA4=""),1,IF('All Data'!$E383=$BA4,1,0))</f>
        <v>1</v>
      </c>
      <c r="E383">
        <f>IF(OR($BA5="Any",$BA5=""),1,IF('All Data'!$F383=$BA5,1,0))</f>
        <v>1</v>
      </c>
      <c r="F383">
        <f>IF(OR($BA6="Any",$BA6=""),1,IF('All Data'!$G383=$BA6,1,0))</f>
        <v>0</v>
      </c>
      <c r="G383">
        <f>IF(AND(OR($BA$8="",ISNUMBER(SEARCH($BA$8,'All Data'!$K383&amp;" "&amp;'All Data'!$M383))),OR($BA$9="",ISNUMBER(SEARCH($BA$9,'All Data'!$K383&amp;" "&amp;'All Data'!$M383))),OR($BA$10="",ISNUMBER(SEARCH($BA$10,'All Data'!$K383&amp;" "&amp;'All Data'!$M383))),OR($BA$11="",ISNUMBER(SEARCH($BA$11,'All Data'!$K383&amp;" "&amp;'All Data'!$M383))),OR($BA$12="",ISNUMBER(SEARCH($BA$12,'All Data'!$K383&amp;" "&amp;'All Data'!$M383))),OR($BA$13="",ISNUMBER(SEARCH($BA$13,'All Data'!$K383&amp;" "&amp;'All Data'!$M383))),OR($BA$14="",ISNUMBER(SEARCH($BA$14,'All Data'!$K383&amp;" "&amp;'All Data'!$M383))),OR($BA$15="",ISNUMBER(SEARCH($BA$15,'All Data'!$K383&amp;" "&amp;'All Data'!$M383)))),1,0)</f>
        <v>1</v>
      </c>
      <c r="H383">
        <f t="shared" si="30"/>
        <v>0</v>
      </c>
      <c r="I383">
        <f>IF(AND($H383=1,'All Data'!$C383&lt;&gt;"",COUNTIFS($H$2:H382,1,'All Data'!$C$2:$C382,'All Data'!$C383)=0),1,0)</f>
        <v>0</v>
      </c>
      <c r="J383" t="str">
        <f>IF($I383=1,SUM($I$2:I383),"")</f>
        <v/>
      </c>
      <c r="K383">
        <f t="shared" si="31"/>
        <v>0</v>
      </c>
      <c r="L383">
        <f>IF(AND($K383=1,'All Data'!$D383&lt;&gt;"",COUNTIFS($K$2:K382,1,'All Data'!$D$2:$D382,'All Data'!$D383)=0),1,0)</f>
        <v>0</v>
      </c>
      <c r="M383" t="str">
        <f>IF($L383=1,SUM($L$2:L383),"")</f>
        <v/>
      </c>
      <c r="N383">
        <f t="shared" si="32"/>
        <v>0</v>
      </c>
      <c r="O383">
        <f>IF(AND($N383=1,'All Data'!$E383&lt;&gt;"",COUNTIFS($N$2:N382,1,'All Data'!$E$2:$E382,'All Data'!$E383)=0),1,0)</f>
        <v>0</v>
      </c>
      <c r="P383" t="str">
        <f>IF($O383=1,SUM($O$2:O383),"")</f>
        <v/>
      </c>
      <c r="Q383">
        <f t="shared" si="33"/>
        <v>0</v>
      </c>
      <c r="R383">
        <f>IF(AND($Q383=1,'All Data'!$F383&lt;&gt;"",COUNTIFS($Q$2:Q382,1,'All Data'!$F$2:$F382,'All Data'!$F383)=0),1,0)</f>
        <v>0</v>
      </c>
      <c r="S383" t="str">
        <f>IF($R383=1,SUM($R$2:R383),"")</f>
        <v/>
      </c>
      <c r="T383">
        <f t="shared" si="34"/>
        <v>0</v>
      </c>
      <c r="U383">
        <f>IF(AND($T383=1,'All Data'!$G383&lt;&gt;"",COUNTIFS($T$2:T382,1,'All Data'!$G$2:$G382,'All Data'!$G383)=0),1,0)</f>
        <v>0</v>
      </c>
      <c r="V383" t="str">
        <f>IF($U383=1,SUM($U$2:U383),"")</f>
        <v/>
      </c>
      <c r="W383">
        <f t="shared" si="35"/>
        <v>0</v>
      </c>
      <c r="X383" t="str">
        <f>IF($W383=1,SUM($W$2:W383),"")</f>
        <v/>
      </c>
    </row>
    <row r="384" spans="1:24" x14ac:dyDescent="0.3">
      <c r="A384">
        <f>IF(OR($BA1="Any",$BA1=""),1,IF('All Data'!$B384=$BA1,1,0))</f>
        <v>0</v>
      </c>
      <c r="B384">
        <f>IF(OR($BA2="Any",$BA2=""),1,IF('All Data'!$C384=$BA2,1,0))</f>
        <v>1</v>
      </c>
      <c r="C384">
        <f>IF(OR($BA3="Any",$BA3=""),1,IF('All Data'!$D384=$BA3,1,0))</f>
        <v>1</v>
      </c>
      <c r="D384">
        <f>IF(OR($BA4="Any",$BA4=""),1,IF('All Data'!$E384=$BA4,1,0))</f>
        <v>1</v>
      </c>
      <c r="E384">
        <f>IF(OR($BA5="Any",$BA5=""),1,IF('All Data'!$F384=$BA5,1,0))</f>
        <v>1</v>
      </c>
      <c r="F384">
        <f>IF(OR($BA6="Any",$BA6=""),1,IF('All Data'!$G384=$BA6,1,0))</f>
        <v>0</v>
      </c>
      <c r="G384">
        <f>IF(AND(OR($BA$8="",ISNUMBER(SEARCH($BA$8,'All Data'!$K384&amp;" "&amp;'All Data'!$M384))),OR($BA$9="",ISNUMBER(SEARCH($BA$9,'All Data'!$K384&amp;" "&amp;'All Data'!$M384))),OR($BA$10="",ISNUMBER(SEARCH($BA$10,'All Data'!$K384&amp;" "&amp;'All Data'!$M384))),OR($BA$11="",ISNUMBER(SEARCH($BA$11,'All Data'!$K384&amp;" "&amp;'All Data'!$M384))),OR($BA$12="",ISNUMBER(SEARCH($BA$12,'All Data'!$K384&amp;" "&amp;'All Data'!$M384))),OR($BA$13="",ISNUMBER(SEARCH($BA$13,'All Data'!$K384&amp;" "&amp;'All Data'!$M384))),OR($BA$14="",ISNUMBER(SEARCH($BA$14,'All Data'!$K384&amp;" "&amp;'All Data'!$M384))),OR($BA$15="",ISNUMBER(SEARCH($BA$15,'All Data'!$K384&amp;" "&amp;'All Data'!$M384)))),1,0)</f>
        <v>1</v>
      </c>
      <c r="H384">
        <f t="shared" si="30"/>
        <v>0</v>
      </c>
      <c r="I384">
        <f>IF(AND($H384=1,'All Data'!$C384&lt;&gt;"",COUNTIFS($H$2:H383,1,'All Data'!$C$2:$C383,'All Data'!$C384)=0),1,0)</f>
        <v>0</v>
      </c>
      <c r="J384" t="str">
        <f>IF($I384=1,SUM($I$2:I384),"")</f>
        <v/>
      </c>
      <c r="K384">
        <f t="shared" si="31"/>
        <v>0</v>
      </c>
      <c r="L384">
        <f>IF(AND($K384=1,'All Data'!$D384&lt;&gt;"",COUNTIFS($K$2:K383,1,'All Data'!$D$2:$D383,'All Data'!$D384)=0),1,0)</f>
        <v>0</v>
      </c>
      <c r="M384" t="str">
        <f>IF($L384=1,SUM($L$2:L384),"")</f>
        <v/>
      </c>
      <c r="N384">
        <f t="shared" si="32"/>
        <v>0</v>
      </c>
      <c r="O384">
        <f>IF(AND($N384=1,'All Data'!$E384&lt;&gt;"",COUNTIFS($N$2:N383,1,'All Data'!$E$2:$E383,'All Data'!$E384)=0),1,0)</f>
        <v>0</v>
      </c>
      <c r="P384" t="str">
        <f>IF($O384=1,SUM($O$2:O384),"")</f>
        <v/>
      </c>
      <c r="Q384">
        <f t="shared" si="33"/>
        <v>0</v>
      </c>
      <c r="R384">
        <f>IF(AND($Q384=1,'All Data'!$F384&lt;&gt;"",COUNTIFS($Q$2:Q383,1,'All Data'!$F$2:$F383,'All Data'!$F384)=0),1,0)</f>
        <v>0</v>
      </c>
      <c r="S384" t="str">
        <f>IF($R384=1,SUM($R$2:R384),"")</f>
        <v/>
      </c>
      <c r="T384">
        <f t="shared" si="34"/>
        <v>0</v>
      </c>
      <c r="U384">
        <f>IF(AND($T384=1,'All Data'!$G384&lt;&gt;"",COUNTIFS($T$2:T383,1,'All Data'!$G$2:$G383,'All Data'!$G384)=0),1,0)</f>
        <v>0</v>
      </c>
      <c r="V384" t="str">
        <f>IF($U384=1,SUM($U$2:U384),"")</f>
        <v/>
      </c>
      <c r="W384">
        <f t="shared" si="35"/>
        <v>0</v>
      </c>
      <c r="X384" t="str">
        <f>IF($W384=1,SUM($W$2:W384),"")</f>
        <v/>
      </c>
    </row>
    <row r="385" spans="1:24" x14ac:dyDescent="0.3">
      <c r="A385">
        <f>IF(OR($BA1="Any",$BA1=""),1,IF('All Data'!$B385=$BA1,1,0))</f>
        <v>0</v>
      </c>
      <c r="B385">
        <f>IF(OR($BA2="Any",$BA2=""),1,IF('All Data'!$C385=$BA2,1,0))</f>
        <v>1</v>
      </c>
      <c r="C385">
        <f>IF(OR($BA3="Any",$BA3=""),1,IF('All Data'!$D385=$BA3,1,0))</f>
        <v>1</v>
      </c>
      <c r="D385">
        <f>IF(OR($BA4="Any",$BA4=""),1,IF('All Data'!$E385=$BA4,1,0))</f>
        <v>1</v>
      </c>
      <c r="E385">
        <f>IF(OR($BA5="Any",$BA5=""),1,IF('All Data'!$F385=$BA5,1,0))</f>
        <v>1</v>
      </c>
      <c r="F385">
        <f>IF(OR($BA6="Any",$BA6=""),1,IF('All Data'!$G385=$BA6,1,0))</f>
        <v>0</v>
      </c>
      <c r="G385">
        <f>IF(AND(OR($BA$8="",ISNUMBER(SEARCH($BA$8,'All Data'!$K385&amp;" "&amp;'All Data'!$M385))),OR($BA$9="",ISNUMBER(SEARCH($BA$9,'All Data'!$K385&amp;" "&amp;'All Data'!$M385))),OR($BA$10="",ISNUMBER(SEARCH($BA$10,'All Data'!$K385&amp;" "&amp;'All Data'!$M385))),OR($BA$11="",ISNUMBER(SEARCH($BA$11,'All Data'!$K385&amp;" "&amp;'All Data'!$M385))),OR($BA$12="",ISNUMBER(SEARCH($BA$12,'All Data'!$K385&amp;" "&amp;'All Data'!$M385))),OR($BA$13="",ISNUMBER(SEARCH($BA$13,'All Data'!$K385&amp;" "&amp;'All Data'!$M385))),OR($BA$14="",ISNUMBER(SEARCH($BA$14,'All Data'!$K385&amp;" "&amp;'All Data'!$M385))),OR($BA$15="",ISNUMBER(SEARCH($BA$15,'All Data'!$K385&amp;" "&amp;'All Data'!$M385)))),1,0)</f>
        <v>1</v>
      </c>
      <c r="H385">
        <f t="shared" si="30"/>
        <v>0</v>
      </c>
      <c r="I385">
        <f>IF(AND($H385=1,'All Data'!$C385&lt;&gt;"",COUNTIFS($H$2:H384,1,'All Data'!$C$2:$C384,'All Data'!$C385)=0),1,0)</f>
        <v>0</v>
      </c>
      <c r="J385" t="str">
        <f>IF($I385=1,SUM($I$2:I385),"")</f>
        <v/>
      </c>
      <c r="K385">
        <f t="shared" si="31"/>
        <v>0</v>
      </c>
      <c r="L385">
        <f>IF(AND($K385=1,'All Data'!$D385&lt;&gt;"",COUNTIFS($K$2:K384,1,'All Data'!$D$2:$D384,'All Data'!$D385)=0),1,0)</f>
        <v>0</v>
      </c>
      <c r="M385" t="str">
        <f>IF($L385=1,SUM($L$2:L385),"")</f>
        <v/>
      </c>
      <c r="N385">
        <f t="shared" si="32"/>
        <v>0</v>
      </c>
      <c r="O385">
        <f>IF(AND($N385=1,'All Data'!$E385&lt;&gt;"",COUNTIFS($N$2:N384,1,'All Data'!$E$2:$E384,'All Data'!$E385)=0),1,0)</f>
        <v>0</v>
      </c>
      <c r="P385" t="str">
        <f>IF($O385=1,SUM($O$2:O385),"")</f>
        <v/>
      </c>
      <c r="Q385">
        <f t="shared" si="33"/>
        <v>0</v>
      </c>
      <c r="R385">
        <f>IF(AND($Q385=1,'All Data'!$F385&lt;&gt;"",COUNTIFS($Q$2:Q384,1,'All Data'!$F$2:$F384,'All Data'!$F385)=0),1,0)</f>
        <v>0</v>
      </c>
      <c r="S385" t="str">
        <f>IF($R385=1,SUM($R$2:R385),"")</f>
        <v/>
      </c>
      <c r="T385">
        <f t="shared" si="34"/>
        <v>0</v>
      </c>
      <c r="U385">
        <f>IF(AND($T385=1,'All Data'!$G385&lt;&gt;"",COUNTIFS($T$2:T384,1,'All Data'!$G$2:$G384,'All Data'!$G385)=0),1,0)</f>
        <v>0</v>
      </c>
      <c r="V385" t="str">
        <f>IF($U385=1,SUM($U$2:U385),"")</f>
        <v/>
      </c>
      <c r="W385">
        <f t="shared" si="35"/>
        <v>0</v>
      </c>
      <c r="X385" t="str">
        <f>IF($W385=1,SUM($W$2:W385),"")</f>
        <v/>
      </c>
    </row>
    <row r="386" spans="1:24" x14ac:dyDescent="0.3">
      <c r="A386">
        <f>IF(OR($BA1="Any",$BA1=""),1,IF('All Data'!$B386=$BA1,1,0))</f>
        <v>0</v>
      </c>
      <c r="B386">
        <f>IF(OR($BA2="Any",$BA2=""),1,IF('All Data'!$C386=$BA2,1,0))</f>
        <v>1</v>
      </c>
      <c r="C386">
        <f>IF(OR($BA3="Any",$BA3=""),1,IF('All Data'!$D386=$BA3,1,0))</f>
        <v>1</v>
      </c>
      <c r="D386">
        <f>IF(OR($BA4="Any",$BA4=""),1,IF('All Data'!$E386=$BA4,1,0))</f>
        <v>1</v>
      </c>
      <c r="E386">
        <f>IF(OR($BA5="Any",$BA5=""),1,IF('All Data'!$F386=$BA5,1,0))</f>
        <v>1</v>
      </c>
      <c r="F386">
        <f>IF(OR($BA6="Any",$BA6=""),1,IF('All Data'!$G386=$BA6,1,0))</f>
        <v>0</v>
      </c>
      <c r="G386">
        <f>IF(AND(OR($BA$8="",ISNUMBER(SEARCH($BA$8,'All Data'!$K386&amp;" "&amp;'All Data'!$M386))),OR($BA$9="",ISNUMBER(SEARCH($BA$9,'All Data'!$K386&amp;" "&amp;'All Data'!$M386))),OR($BA$10="",ISNUMBER(SEARCH($BA$10,'All Data'!$K386&amp;" "&amp;'All Data'!$M386))),OR($BA$11="",ISNUMBER(SEARCH($BA$11,'All Data'!$K386&amp;" "&amp;'All Data'!$M386))),OR($BA$12="",ISNUMBER(SEARCH($BA$12,'All Data'!$K386&amp;" "&amp;'All Data'!$M386))),OR($BA$13="",ISNUMBER(SEARCH($BA$13,'All Data'!$K386&amp;" "&amp;'All Data'!$M386))),OR($BA$14="",ISNUMBER(SEARCH($BA$14,'All Data'!$K386&amp;" "&amp;'All Data'!$M386))),OR($BA$15="",ISNUMBER(SEARCH($BA$15,'All Data'!$K386&amp;" "&amp;'All Data'!$M386)))),1,0)</f>
        <v>1</v>
      </c>
      <c r="H386">
        <f t="shared" ref="H386:H419" si="36">$A386</f>
        <v>0</v>
      </c>
      <c r="I386">
        <f>IF(AND($H386=1,'All Data'!$C386&lt;&gt;"",COUNTIFS($H$2:H385,1,'All Data'!$C$2:$C385,'All Data'!$C386)=0),1,0)</f>
        <v>0</v>
      </c>
      <c r="J386" t="str">
        <f>IF($I386=1,SUM($I$2:I386),"")</f>
        <v/>
      </c>
      <c r="K386">
        <f t="shared" ref="K386:K419" si="37">$A386*$B386</f>
        <v>0</v>
      </c>
      <c r="L386">
        <f>IF(AND($K386=1,'All Data'!$D386&lt;&gt;"",COUNTIFS($K$2:K385,1,'All Data'!$D$2:$D385,'All Data'!$D386)=0),1,0)</f>
        <v>0</v>
      </c>
      <c r="M386" t="str">
        <f>IF($L386=1,SUM($L$2:L386),"")</f>
        <v/>
      </c>
      <c r="N386">
        <f t="shared" ref="N386:N419" si="38">$A386*$B386*$C386</f>
        <v>0</v>
      </c>
      <c r="O386">
        <f>IF(AND($N386=1,'All Data'!$E386&lt;&gt;"",COUNTIFS($N$2:N385,1,'All Data'!$E$2:$E385,'All Data'!$E386)=0),1,0)</f>
        <v>0</v>
      </c>
      <c r="P386" t="str">
        <f>IF($O386=1,SUM($O$2:O386),"")</f>
        <v/>
      </c>
      <c r="Q386">
        <f t="shared" ref="Q386:Q419" si="39">$A386*$B386*$C386*$D386</f>
        <v>0</v>
      </c>
      <c r="R386">
        <f>IF(AND($Q386=1,'All Data'!$F386&lt;&gt;"",COUNTIFS($Q$2:Q385,1,'All Data'!$F$2:$F385,'All Data'!$F386)=0),1,0)</f>
        <v>0</v>
      </c>
      <c r="S386" t="str">
        <f>IF($R386=1,SUM($R$2:R386),"")</f>
        <v/>
      </c>
      <c r="T386">
        <f t="shared" ref="T386:T419" si="40">$A386*$B386*$C386*$D386*$E386</f>
        <v>0</v>
      </c>
      <c r="U386">
        <f>IF(AND($T386=1,'All Data'!$G386&lt;&gt;"",COUNTIFS($T$2:T385,1,'All Data'!$G$2:$G385,'All Data'!$G386)=0),1,0)</f>
        <v>0</v>
      </c>
      <c r="V386" t="str">
        <f>IF($U386=1,SUM($U$2:U386),"")</f>
        <v/>
      </c>
      <c r="W386">
        <f t="shared" ref="W386:W419" si="41">$A386*$B386*$C386*$D386*$E386*$F386*$G386</f>
        <v>0</v>
      </c>
      <c r="X386" t="str">
        <f>IF($W386=1,SUM($W$2:W386),"")</f>
        <v/>
      </c>
    </row>
    <row r="387" spans="1:24" x14ac:dyDescent="0.3">
      <c r="A387">
        <f>IF(OR($BA1="Any",$BA1=""),1,IF('All Data'!$B387=$BA1,1,0))</f>
        <v>0</v>
      </c>
      <c r="B387">
        <f>IF(OR($BA2="Any",$BA2=""),1,IF('All Data'!$C387=$BA2,1,0))</f>
        <v>1</v>
      </c>
      <c r="C387">
        <f>IF(OR($BA3="Any",$BA3=""),1,IF('All Data'!$D387=$BA3,1,0))</f>
        <v>1</v>
      </c>
      <c r="D387">
        <f>IF(OR($BA4="Any",$BA4=""),1,IF('All Data'!$E387=$BA4,1,0))</f>
        <v>1</v>
      </c>
      <c r="E387">
        <f>IF(OR($BA5="Any",$BA5=""),1,IF('All Data'!$F387=$BA5,1,0))</f>
        <v>1</v>
      </c>
      <c r="F387">
        <f>IF(OR($BA6="Any",$BA6=""),1,IF('All Data'!$G387=$BA6,1,0))</f>
        <v>0</v>
      </c>
      <c r="G387">
        <f>IF(AND(OR($BA$8="",ISNUMBER(SEARCH($BA$8,'All Data'!$K387&amp;" "&amp;'All Data'!$M387))),OR($BA$9="",ISNUMBER(SEARCH($BA$9,'All Data'!$K387&amp;" "&amp;'All Data'!$M387))),OR($BA$10="",ISNUMBER(SEARCH($BA$10,'All Data'!$K387&amp;" "&amp;'All Data'!$M387))),OR($BA$11="",ISNUMBER(SEARCH($BA$11,'All Data'!$K387&amp;" "&amp;'All Data'!$M387))),OR($BA$12="",ISNUMBER(SEARCH($BA$12,'All Data'!$K387&amp;" "&amp;'All Data'!$M387))),OR($BA$13="",ISNUMBER(SEARCH($BA$13,'All Data'!$K387&amp;" "&amp;'All Data'!$M387))),OR($BA$14="",ISNUMBER(SEARCH($BA$14,'All Data'!$K387&amp;" "&amp;'All Data'!$M387))),OR($BA$15="",ISNUMBER(SEARCH($BA$15,'All Data'!$K387&amp;" "&amp;'All Data'!$M387)))),1,0)</f>
        <v>1</v>
      </c>
      <c r="H387">
        <f t="shared" si="36"/>
        <v>0</v>
      </c>
      <c r="I387">
        <f>IF(AND($H387=1,'All Data'!$C387&lt;&gt;"",COUNTIFS($H$2:H386,1,'All Data'!$C$2:$C386,'All Data'!$C387)=0),1,0)</f>
        <v>0</v>
      </c>
      <c r="J387" t="str">
        <f>IF($I387=1,SUM($I$2:I387),"")</f>
        <v/>
      </c>
      <c r="K387">
        <f t="shared" si="37"/>
        <v>0</v>
      </c>
      <c r="L387">
        <f>IF(AND($K387=1,'All Data'!$D387&lt;&gt;"",COUNTIFS($K$2:K386,1,'All Data'!$D$2:$D386,'All Data'!$D387)=0),1,0)</f>
        <v>0</v>
      </c>
      <c r="M387" t="str">
        <f>IF($L387=1,SUM($L$2:L387),"")</f>
        <v/>
      </c>
      <c r="N387">
        <f t="shared" si="38"/>
        <v>0</v>
      </c>
      <c r="O387">
        <f>IF(AND($N387=1,'All Data'!$E387&lt;&gt;"",COUNTIFS($N$2:N386,1,'All Data'!$E$2:$E386,'All Data'!$E387)=0),1,0)</f>
        <v>0</v>
      </c>
      <c r="P387" t="str">
        <f>IF($O387=1,SUM($O$2:O387),"")</f>
        <v/>
      </c>
      <c r="Q387">
        <f t="shared" si="39"/>
        <v>0</v>
      </c>
      <c r="R387">
        <f>IF(AND($Q387=1,'All Data'!$F387&lt;&gt;"",COUNTIFS($Q$2:Q386,1,'All Data'!$F$2:$F386,'All Data'!$F387)=0),1,0)</f>
        <v>0</v>
      </c>
      <c r="S387" t="str">
        <f>IF($R387=1,SUM($R$2:R387),"")</f>
        <v/>
      </c>
      <c r="T387">
        <f t="shared" si="40"/>
        <v>0</v>
      </c>
      <c r="U387">
        <f>IF(AND($T387=1,'All Data'!$G387&lt;&gt;"",COUNTIFS($T$2:T386,1,'All Data'!$G$2:$G386,'All Data'!$G387)=0),1,0)</f>
        <v>0</v>
      </c>
      <c r="V387" t="str">
        <f>IF($U387=1,SUM($U$2:U387),"")</f>
        <v/>
      </c>
      <c r="W387">
        <f t="shared" si="41"/>
        <v>0</v>
      </c>
      <c r="X387" t="str">
        <f>IF($W387=1,SUM($W$2:W387),"")</f>
        <v/>
      </c>
    </row>
    <row r="388" spans="1:24" x14ac:dyDescent="0.3">
      <c r="A388">
        <f>IF(OR($BA1="Any",$BA1=""),1,IF('All Data'!$B388=$BA1,1,0))</f>
        <v>0</v>
      </c>
      <c r="B388">
        <f>IF(OR($BA2="Any",$BA2=""),1,IF('All Data'!$C388=$BA2,1,0))</f>
        <v>1</v>
      </c>
      <c r="C388">
        <f>IF(OR($BA3="Any",$BA3=""),1,IF('All Data'!$D388=$BA3,1,0))</f>
        <v>1</v>
      </c>
      <c r="D388">
        <f>IF(OR($BA4="Any",$BA4=""),1,IF('All Data'!$E388=$BA4,1,0))</f>
        <v>1</v>
      </c>
      <c r="E388">
        <f>IF(OR($BA5="Any",$BA5=""),1,IF('All Data'!$F388=$BA5,1,0))</f>
        <v>1</v>
      </c>
      <c r="F388">
        <f>IF(OR($BA6="Any",$BA6=""),1,IF('All Data'!$G388=$BA6,1,0))</f>
        <v>1</v>
      </c>
      <c r="G388">
        <f>IF(AND(OR($BA$8="",ISNUMBER(SEARCH($BA$8,'All Data'!$K388&amp;" "&amp;'All Data'!$M388))),OR($BA$9="",ISNUMBER(SEARCH($BA$9,'All Data'!$K388&amp;" "&amp;'All Data'!$M388))),OR($BA$10="",ISNUMBER(SEARCH($BA$10,'All Data'!$K388&amp;" "&amp;'All Data'!$M388))),OR($BA$11="",ISNUMBER(SEARCH($BA$11,'All Data'!$K388&amp;" "&amp;'All Data'!$M388))),OR($BA$12="",ISNUMBER(SEARCH($BA$12,'All Data'!$K388&amp;" "&amp;'All Data'!$M388))),OR($BA$13="",ISNUMBER(SEARCH($BA$13,'All Data'!$K388&amp;" "&amp;'All Data'!$M388))),OR($BA$14="",ISNUMBER(SEARCH($BA$14,'All Data'!$K388&amp;" "&amp;'All Data'!$M388))),OR($BA$15="",ISNUMBER(SEARCH($BA$15,'All Data'!$K388&amp;" "&amp;'All Data'!$M388)))),1,0)</f>
        <v>1</v>
      </c>
      <c r="H388">
        <f t="shared" si="36"/>
        <v>0</v>
      </c>
      <c r="I388">
        <f>IF(AND($H388=1,'All Data'!$C388&lt;&gt;"",COUNTIFS($H$2:H387,1,'All Data'!$C$2:$C387,'All Data'!$C388)=0),1,0)</f>
        <v>0</v>
      </c>
      <c r="J388" t="str">
        <f>IF($I388=1,SUM($I$2:I388),"")</f>
        <v/>
      </c>
      <c r="K388">
        <f t="shared" si="37"/>
        <v>0</v>
      </c>
      <c r="L388">
        <f>IF(AND($K388=1,'All Data'!$D388&lt;&gt;"",COUNTIFS($K$2:K387,1,'All Data'!$D$2:$D387,'All Data'!$D388)=0),1,0)</f>
        <v>0</v>
      </c>
      <c r="M388" t="str">
        <f>IF($L388=1,SUM($L$2:L388),"")</f>
        <v/>
      </c>
      <c r="N388">
        <f t="shared" si="38"/>
        <v>0</v>
      </c>
      <c r="O388">
        <f>IF(AND($N388=1,'All Data'!$E388&lt;&gt;"",COUNTIFS($N$2:N387,1,'All Data'!$E$2:$E387,'All Data'!$E388)=0),1,0)</f>
        <v>0</v>
      </c>
      <c r="P388" t="str">
        <f>IF($O388=1,SUM($O$2:O388),"")</f>
        <v/>
      </c>
      <c r="Q388">
        <f t="shared" si="39"/>
        <v>0</v>
      </c>
      <c r="R388">
        <f>IF(AND($Q388=1,'All Data'!$F388&lt;&gt;"",COUNTIFS($Q$2:Q387,1,'All Data'!$F$2:$F387,'All Data'!$F388)=0),1,0)</f>
        <v>0</v>
      </c>
      <c r="S388" t="str">
        <f>IF($R388=1,SUM($R$2:R388),"")</f>
        <v/>
      </c>
      <c r="T388">
        <f t="shared" si="40"/>
        <v>0</v>
      </c>
      <c r="U388">
        <f>IF(AND($T388=1,'All Data'!$G388&lt;&gt;"",COUNTIFS($T$2:T387,1,'All Data'!$G$2:$G387,'All Data'!$G388)=0),1,0)</f>
        <v>0</v>
      </c>
      <c r="V388" t="str">
        <f>IF($U388=1,SUM($U$2:U388),"")</f>
        <v/>
      </c>
      <c r="W388">
        <f t="shared" si="41"/>
        <v>0</v>
      </c>
      <c r="X388" t="str">
        <f>IF($W388=1,SUM($W$2:W388),"")</f>
        <v/>
      </c>
    </row>
    <row r="389" spans="1:24" x14ac:dyDescent="0.3">
      <c r="A389">
        <f>IF(OR($BA1="Any",$BA1=""),1,IF('All Data'!$B389=$BA1,1,0))</f>
        <v>0</v>
      </c>
      <c r="B389">
        <f>IF(OR($BA2="Any",$BA2=""),1,IF('All Data'!$C389=$BA2,1,0))</f>
        <v>1</v>
      </c>
      <c r="C389">
        <f>IF(OR($BA3="Any",$BA3=""),1,IF('All Data'!$D389=$BA3,1,0))</f>
        <v>1</v>
      </c>
      <c r="D389">
        <f>IF(OR($BA4="Any",$BA4=""),1,IF('All Data'!$E389=$BA4,1,0))</f>
        <v>1</v>
      </c>
      <c r="E389">
        <f>IF(OR($BA5="Any",$BA5=""),1,IF('All Data'!$F389=$BA5,1,0))</f>
        <v>1</v>
      </c>
      <c r="F389">
        <f>IF(OR($BA6="Any",$BA6=""),1,IF('All Data'!$G389=$BA6,1,0))</f>
        <v>0</v>
      </c>
      <c r="G389">
        <f>IF(AND(OR($BA$8="",ISNUMBER(SEARCH($BA$8,'All Data'!$K389&amp;" "&amp;'All Data'!$M389))),OR($BA$9="",ISNUMBER(SEARCH($BA$9,'All Data'!$K389&amp;" "&amp;'All Data'!$M389))),OR($BA$10="",ISNUMBER(SEARCH($BA$10,'All Data'!$K389&amp;" "&amp;'All Data'!$M389))),OR($BA$11="",ISNUMBER(SEARCH($BA$11,'All Data'!$K389&amp;" "&amp;'All Data'!$M389))),OR($BA$12="",ISNUMBER(SEARCH($BA$12,'All Data'!$K389&amp;" "&amp;'All Data'!$M389))),OR($BA$13="",ISNUMBER(SEARCH($BA$13,'All Data'!$K389&amp;" "&amp;'All Data'!$M389))),OR($BA$14="",ISNUMBER(SEARCH($BA$14,'All Data'!$K389&amp;" "&amp;'All Data'!$M389))),OR($BA$15="",ISNUMBER(SEARCH($BA$15,'All Data'!$K389&amp;" "&amp;'All Data'!$M389)))),1,0)</f>
        <v>1</v>
      </c>
      <c r="H389">
        <f t="shared" si="36"/>
        <v>0</v>
      </c>
      <c r="I389">
        <f>IF(AND($H389=1,'All Data'!$C389&lt;&gt;"",COUNTIFS($H$2:H388,1,'All Data'!$C$2:$C388,'All Data'!$C389)=0),1,0)</f>
        <v>0</v>
      </c>
      <c r="J389" t="str">
        <f>IF($I389=1,SUM($I$2:I389),"")</f>
        <v/>
      </c>
      <c r="K389">
        <f t="shared" si="37"/>
        <v>0</v>
      </c>
      <c r="L389">
        <f>IF(AND($K389=1,'All Data'!$D389&lt;&gt;"",COUNTIFS($K$2:K388,1,'All Data'!$D$2:$D388,'All Data'!$D389)=0),1,0)</f>
        <v>0</v>
      </c>
      <c r="M389" t="str">
        <f>IF($L389=1,SUM($L$2:L389),"")</f>
        <v/>
      </c>
      <c r="N389">
        <f t="shared" si="38"/>
        <v>0</v>
      </c>
      <c r="O389">
        <f>IF(AND($N389=1,'All Data'!$E389&lt;&gt;"",COUNTIFS($N$2:N388,1,'All Data'!$E$2:$E388,'All Data'!$E389)=0),1,0)</f>
        <v>0</v>
      </c>
      <c r="P389" t="str">
        <f>IF($O389=1,SUM($O$2:O389),"")</f>
        <v/>
      </c>
      <c r="Q389">
        <f t="shared" si="39"/>
        <v>0</v>
      </c>
      <c r="R389">
        <f>IF(AND($Q389=1,'All Data'!$F389&lt;&gt;"",COUNTIFS($Q$2:Q388,1,'All Data'!$F$2:$F388,'All Data'!$F389)=0),1,0)</f>
        <v>0</v>
      </c>
      <c r="S389" t="str">
        <f>IF($R389=1,SUM($R$2:R389),"")</f>
        <v/>
      </c>
      <c r="T389">
        <f t="shared" si="40"/>
        <v>0</v>
      </c>
      <c r="U389">
        <f>IF(AND($T389=1,'All Data'!$G389&lt;&gt;"",COUNTIFS($T$2:T388,1,'All Data'!$G$2:$G388,'All Data'!$G389)=0),1,0)</f>
        <v>0</v>
      </c>
      <c r="V389" t="str">
        <f>IF($U389=1,SUM($U$2:U389),"")</f>
        <v/>
      </c>
      <c r="W389">
        <f t="shared" si="41"/>
        <v>0</v>
      </c>
      <c r="X389" t="str">
        <f>IF($W389=1,SUM($W$2:W389),"")</f>
        <v/>
      </c>
    </row>
    <row r="390" spans="1:24" x14ac:dyDescent="0.3">
      <c r="A390">
        <f>IF(OR($BA1="Any",$BA1=""),1,IF('All Data'!$B390=$BA1,1,0))</f>
        <v>0</v>
      </c>
      <c r="B390">
        <f>IF(OR($BA2="Any",$BA2=""),1,IF('All Data'!$C390=$BA2,1,0))</f>
        <v>1</v>
      </c>
      <c r="C390">
        <f>IF(OR($BA3="Any",$BA3=""),1,IF('All Data'!$D390=$BA3,1,0))</f>
        <v>1</v>
      </c>
      <c r="D390">
        <f>IF(OR($BA4="Any",$BA4=""),1,IF('All Data'!$E390=$BA4,1,0))</f>
        <v>1</v>
      </c>
      <c r="E390">
        <f>IF(OR($BA5="Any",$BA5=""),1,IF('All Data'!$F390=$BA5,1,0))</f>
        <v>1</v>
      </c>
      <c r="F390">
        <f>IF(OR($BA6="Any",$BA6=""),1,IF('All Data'!$G390=$BA6,1,0))</f>
        <v>0</v>
      </c>
      <c r="G390">
        <f>IF(AND(OR($BA$8="",ISNUMBER(SEARCH($BA$8,'All Data'!$K390&amp;" "&amp;'All Data'!$M390))),OR($BA$9="",ISNUMBER(SEARCH($BA$9,'All Data'!$K390&amp;" "&amp;'All Data'!$M390))),OR($BA$10="",ISNUMBER(SEARCH($BA$10,'All Data'!$K390&amp;" "&amp;'All Data'!$M390))),OR($BA$11="",ISNUMBER(SEARCH($BA$11,'All Data'!$K390&amp;" "&amp;'All Data'!$M390))),OR($BA$12="",ISNUMBER(SEARCH($BA$12,'All Data'!$K390&amp;" "&amp;'All Data'!$M390))),OR($BA$13="",ISNUMBER(SEARCH($BA$13,'All Data'!$K390&amp;" "&amp;'All Data'!$M390))),OR($BA$14="",ISNUMBER(SEARCH($BA$14,'All Data'!$K390&amp;" "&amp;'All Data'!$M390))),OR($BA$15="",ISNUMBER(SEARCH($BA$15,'All Data'!$K390&amp;" "&amp;'All Data'!$M390)))),1,0)</f>
        <v>1</v>
      </c>
      <c r="H390">
        <f t="shared" si="36"/>
        <v>0</v>
      </c>
      <c r="I390">
        <f>IF(AND($H390=1,'All Data'!$C390&lt;&gt;"",COUNTIFS($H$2:H389,1,'All Data'!$C$2:$C389,'All Data'!$C390)=0),1,0)</f>
        <v>0</v>
      </c>
      <c r="J390" t="str">
        <f>IF($I390=1,SUM($I$2:I390),"")</f>
        <v/>
      </c>
      <c r="K390">
        <f t="shared" si="37"/>
        <v>0</v>
      </c>
      <c r="L390">
        <f>IF(AND($K390=1,'All Data'!$D390&lt;&gt;"",COUNTIFS($K$2:K389,1,'All Data'!$D$2:$D389,'All Data'!$D390)=0),1,0)</f>
        <v>0</v>
      </c>
      <c r="M390" t="str">
        <f>IF($L390=1,SUM($L$2:L390),"")</f>
        <v/>
      </c>
      <c r="N390">
        <f t="shared" si="38"/>
        <v>0</v>
      </c>
      <c r="O390">
        <f>IF(AND($N390=1,'All Data'!$E390&lt;&gt;"",COUNTIFS($N$2:N389,1,'All Data'!$E$2:$E389,'All Data'!$E390)=0),1,0)</f>
        <v>0</v>
      </c>
      <c r="P390" t="str">
        <f>IF($O390=1,SUM($O$2:O390),"")</f>
        <v/>
      </c>
      <c r="Q390">
        <f t="shared" si="39"/>
        <v>0</v>
      </c>
      <c r="R390">
        <f>IF(AND($Q390=1,'All Data'!$F390&lt;&gt;"",COUNTIFS($Q$2:Q389,1,'All Data'!$F$2:$F389,'All Data'!$F390)=0),1,0)</f>
        <v>0</v>
      </c>
      <c r="S390" t="str">
        <f>IF($R390=1,SUM($R$2:R390),"")</f>
        <v/>
      </c>
      <c r="T390">
        <f t="shared" si="40"/>
        <v>0</v>
      </c>
      <c r="U390">
        <f>IF(AND($T390=1,'All Data'!$G390&lt;&gt;"",COUNTIFS($T$2:T389,1,'All Data'!$G$2:$G389,'All Data'!$G390)=0),1,0)</f>
        <v>0</v>
      </c>
      <c r="V390" t="str">
        <f>IF($U390=1,SUM($U$2:U390),"")</f>
        <v/>
      </c>
      <c r="W390">
        <f t="shared" si="41"/>
        <v>0</v>
      </c>
      <c r="X390" t="str">
        <f>IF($W390=1,SUM($W$2:W390),"")</f>
        <v/>
      </c>
    </row>
    <row r="391" spans="1:24" x14ac:dyDescent="0.3">
      <c r="A391">
        <f>IF(OR($BA1="Any",$BA1=""),1,IF('All Data'!$B391=$BA1,1,0))</f>
        <v>0</v>
      </c>
      <c r="B391">
        <f>IF(OR($BA2="Any",$BA2=""),1,IF('All Data'!$C391=$BA2,1,0))</f>
        <v>1</v>
      </c>
      <c r="C391">
        <f>IF(OR($BA3="Any",$BA3=""),1,IF('All Data'!$D391=$BA3,1,0))</f>
        <v>1</v>
      </c>
      <c r="D391">
        <f>IF(OR($BA4="Any",$BA4=""),1,IF('All Data'!$E391=$BA4,1,0))</f>
        <v>1</v>
      </c>
      <c r="E391">
        <f>IF(OR($BA5="Any",$BA5=""),1,IF('All Data'!$F391=$BA5,1,0))</f>
        <v>1</v>
      </c>
      <c r="F391">
        <f>IF(OR($BA6="Any",$BA6=""),1,IF('All Data'!$G391=$BA6,1,0))</f>
        <v>0</v>
      </c>
      <c r="G391">
        <f>IF(AND(OR($BA$8="",ISNUMBER(SEARCH($BA$8,'All Data'!$K391&amp;" "&amp;'All Data'!$M391))),OR($BA$9="",ISNUMBER(SEARCH($BA$9,'All Data'!$K391&amp;" "&amp;'All Data'!$M391))),OR($BA$10="",ISNUMBER(SEARCH($BA$10,'All Data'!$K391&amp;" "&amp;'All Data'!$M391))),OR($BA$11="",ISNUMBER(SEARCH($BA$11,'All Data'!$K391&amp;" "&amp;'All Data'!$M391))),OR($BA$12="",ISNUMBER(SEARCH($BA$12,'All Data'!$K391&amp;" "&amp;'All Data'!$M391))),OR($BA$13="",ISNUMBER(SEARCH($BA$13,'All Data'!$K391&amp;" "&amp;'All Data'!$M391))),OR($BA$14="",ISNUMBER(SEARCH($BA$14,'All Data'!$K391&amp;" "&amp;'All Data'!$M391))),OR($BA$15="",ISNUMBER(SEARCH($BA$15,'All Data'!$K391&amp;" "&amp;'All Data'!$M391)))),1,0)</f>
        <v>1</v>
      </c>
      <c r="H391">
        <f t="shared" si="36"/>
        <v>0</v>
      </c>
      <c r="I391">
        <f>IF(AND($H391=1,'All Data'!$C391&lt;&gt;"",COUNTIFS($H$2:H390,1,'All Data'!$C$2:$C390,'All Data'!$C391)=0),1,0)</f>
        <v>0</v>
      </c>
      <c r="J391" t="str">
        <f>IF($I391=1,SUM($I$2:I391),"")</f>
        <v/>
      </c>
      <c r="K391">
        <f t="shared" si="37"/>
        <v>0</v>
      </c>
      <c r="L391">
        <f>IF(AND($K391=1,'All Data'!$D391&lt;&gt;"",COUNTIFS($K$2:K390,1,'All Data'!$D$2:$D390,'All Data'!$D391)=0),1,0)</f>
        <v>0</v>
      </c>
      <c r="M391" t="str">
        <f>IF($L391=1,SUM($L$2:L391),"")</f>
        <v/>
      </c>
      <c r="N391">
        <f t="shared" si="38"/>
        <v>0</v>
      </c>
      <c r="O391">
        <f>IF(AND($N391=1,'All Data'!$E391&lt;&gt;"",COUNTIFS($N$2:N390,1,'All Data'!$E$2:$E390,'All Data'!$E391)=0),1,0)</f>
        <v>0</v>
      </c>
      <c r="P391" t="str">
        <f>IF($O391=1,SUM($O$2:O391),"")</f>
        <v/>
      </c>
      <c r="Q391">
        <f t="shared" si="39"/>
        <v>0</v>
      </c>
      <c r="R391">
        <f>IF(AND($Q391=1,'All Data'!$F391&lt;&gt;"",COUNTIFS($Q$2:Q390,1,'All Data'!$F$2:$F390,'All Data'!$F391)=0),1,0)</f>
        <v>0</v>
      </c>
      <c r="S391" t="str">
        <f>IF($R391=1,SUM($R$2:R391),"")</f>
        <v/>
      </c>
      <c r="T391">
        <f t="shared" si="40"/>
        <v>0</v>
      </c>
      <c r="U391">
        <f>IF(AND($T391=1,'All Data'!$G391&lt;&gt;"",COUNTIFS($T$2:T390,1,'All Data'!$G$2:$G390,'All Data'!$G391)=0),1,0)</f>
        <v>0</v>
      </c>
      <c r="V391" t="str">
        <f>IF($U391=1,SUM($U$2:U391),"")</f>
        <v/>
      </c>
      <c r="W391">
        <f t="shared" si="41"/>
        <v>0</v>
      </c>
      <c r="X391" t="str">
        <f>IF($W391=1,SUM($W$2:W391),"")</f>
        <v/>
      </c>
    </row>
    <row r="392" spans="1:24" x14ac:dyDescent="0.3">
      <c r="A392">
        <f>IF(OR($BA1="Any",$BA1=""),1,IF('All Data'!$B392=$BA1,1,0))</f>
        <v>0</v>
      </c>
      <c r="B392">
        <f>IF(OR($BA2="Any",$BA2=""),1,IF('All Data'!$C392=$BA2,1,0))</f>
        <v>1</v>
      </c>
      <c r="C392">
        <f>IF(OR($BA3="Any",$BA3=""),1,IF('All Data'!$D392=$BA3,1,0))</f>
        <v>1</v>
      </c>
      <c r="D392">
        <f>IF(OR($BA4="Any",$BA4=""),1,IF('All Data'!$E392=$BA4,1,0))</f>
        <v>1</v>
      </c>
      <c r="E392">
        <f>IF(OR($BA5="Any",$BA5=""),1,IF('All Data'!$F392=$BA5,1,0))</f>
        <v>1</v>
      </c>
      <c r="F392">
        <f>IF(OR($BA6="Any",$BA6=""),1,IF('All Data'!$G392=$BA6,1,0))</f>
        <v>0</v>
      </c>
      <c r="G392">
        <f>IF(AND(OR($BA$8="",ISNUMBER(SEARCH($BA$8,'All Data'!$K392&amp;" "&amp;'All Data'!$M392))),OR($BA$9="",ISNUMBER(SEARCH($BA$9,'All Data'!$K392&amp;" "&amp;'All Data'!$M392))),OR($BA$10="",ISNUMBER(SEARCH($BA$10,'All Data'!$K392&amp;" "&amp;'All Data'!$M392))),OR($BA$11="",ISNUMBER(SEARCH($BA$11,'All Data'!$K392&amp;" "&amp;'All Data'!$M392))),OR($BA$12="",ISNUMBER(SEARCH($BA$12,'All Data'!$K392&amp;" "&amp;'All Data'!$M392))),OR($BA$13="",ISNUMBER(SEARCH($BA$13,'All Data'!$K392&amp;" "&amp;'All Data'!$M392))),OR($BA$14="",ISNUMBER(SEARCH($BA$14,'All Data'!$K392&amp;" "&amp;'All Data'!$M392))),OR($BA$15="",ISNUMBER(SEARCH($BA$15,'All Data'!$K392&amp;" "&amp;'All Data'!$M392)))),1,0)</f>
        <v>1</v>
      </c>
      <c r="H392">
        <f t="shared" si="36"/>
        <v>0</v>
      </c>
      <c r="I392">
        <f>IF(AND($H392=1,'All Data'!$C392&lt;&gt;"",COUNTIFS($H$2:H391,1,'All Data'!$C$2:$C391,'All Data'!$C392)=0),1,0)</f>
        <v>0</v>
      </c>
      <c r="J392" t="str">
        <f>IF($I392=1,SUM($I$2:I392),"")</f>
        <v/>
      </c>
      <c r="K392">
        <f t="shared" si="37"/>
        <v>0</v>
      </c>
      <c r="L392">
        <f>IF(AND($K392=1,'All Data'!$D392&lt;&gt;"",COUNTIFS($K$2:K391,1,'All Data'!$D$2:$D391,'All Data'!$D392)=0),1,0)</f>
        <v>0</v>
      </c>
      <c r="M392" t="str">
        <f>IF($L392=1,SUM($L$2:L392),"")</f>
        <v/>
      </c>
      <c r="N392">
        <f t="shared" si="38"/>
        <v>0</v>
      </c>
      <c r="O392">
        <f>IF(AND($N392=1,'All Data'!$E392&lt;&gt;"",COUNTIFS($N$2:N391,1,'All Data'!$E$2:$E391,'All Data'!$E392)=0),1,0)</f>
        <v>0</v>
      </c>
      <c r="P392" t="str">
        <f>IF($O392=1,SUM($O$2:O392),"")</f>
        <v/>
      </c>
      <c r="Q392">
        <f t="shared" si="39"/>
        <v>0</v>
      </c>
      <c r="R392">
        <f>IF(AND($Q392=1,'All Data'!$F392&lt;&gt;"",COUNTIFS($Q$2:Q391,1,'All Data'!$F$2:$F391,'All Data'!$F392)=0),1,0)</f>
        <v>0</v>
      </c>
      <c r="S392" t="str">
        <f>IF($R392=1,SUM($R$2:R392),"")</f>
        <v/>
      </c>
      <c r="T392">
        <f t="shared" si="40"/>
        <v>0</v>
      </c>
      <c r="U392">
        <f>IF(AND($T392=1,'All Data'!$G392&lt;&gt;"",COUNTIFS($T$2:T391,1,'All Data'!$G$2:$G391,'All Data'!$G392)=0),1,0)</f>
        <v>0</v>
      </c>
      <c r="V392" t="str">
        <f>IF($U392=1,SUM($U$2:U392),"")</f>
        <v/>
      </c>
      <c r="W392">
        <f t="shared" si="41"/>
        <v>0</v>
      </c>
      <c r="X392" t="str">
        <f>IF($W392=1,SUM($W$2:W392),"")</f>
        <v/>
      </c>
    </row>
    <row r="393" spans="1:24" x14ac:dyDescent="0.3">
      <c r="A393">
        <f>IF(OR($BA1="Any",$BA1=""),1,IF('All Data'!$B393=$BA1,1,0))</f>
        <v>0</v>
      </c>
      <c r="B393">
        <f>IF(OR($BA2="Any",$BA2=""),1,IF('All Data'!$C393=$BA2,1,0))</f>
        <v>1</v>
      </c>
      <c r="C393">
        <f>IF(OR($BA3="Any",$BA3=""),1,IF('All Data'!$D393=$BA3,1,0))</f>
        <v>1</v>
      </c>
      <c r="D393">
        <f>IF(OR($BA4="Any",$BA4=""),1,IF('All Data'!$E393=$BA4,1,0))</f>
        <v>1</v>
      </c>
      <c r="E393">
        <f>IF(OR($BA5="Any",$BA5=""),1,IF('All Data'!$F393=$BA5,1,0))</f>
        <v>1</v>
      </c>
      <c r="F393">
        <f>IF(OR($BA6="Any",$BA6=""),1,IF('All Data'!$G393=$BA6,1,0))</f>
        <v>0</v>
      </c>
      <c r="G393">
        <f>IF(AND(OR($BA$8="",ISNUMBER(SEARCH($BA$8,'All Data'!$K393&amp;" "&amp;'All Data'!$M393))),OR($BA$9="",ISNUMBER(SEARCH($BA$9,'All Data'!$K393&amp;" "&amp;'All Data'!$M393))),OR($BA$10="",ISNUMBER(SEARCH($BA$10,'All Data'!$K393&amp;" "&amp;'All Data'!$M393))),OR($BA$11="",ISNUMBER(SEARCH($BA$11,'All Data'!$K393&amp;" "&amp;'All Data'!$M393))),OR($BA$12="",ISNUMBER(SEARCH($BA$12,'All Data'!$K393&amp;" "&amp;'All Data'!$M393))),OR($BA$13="",ISNUMBER(SEARCH($BA$13,'All Data'!$K393&amp;" "&amp;'All Data'!$M393))),OR($BA$14="",ISNUMBER(SEARCH($BA$14,'All Data'!$K393&amp;" "&amp;'All Data'!$M393))),OR($BA$15="",ISNUMBER(SEARCH($BA$15,'All Data'!$K393&amp;" "&amp;'All Data'!$M393)))),1,0)</f>
        <v>1</v>
      </c>
      <c r="H393">
        <f t="shared" si="36"/>
        <v>0</v>
      </c>
      <c r="I393">
        <f>IF(AND($H393=1,'All Data'!$C393&lt;&gt;"",COUNTIFS($H$2:H392,1,'All Data'!$C$2:$C392,'All Data'!$C393)=0),1,0)</f>
        <v>0</v>
      </c>
      <c r="J393" t="str">
        <f>IF($I393=1,SUM($I$2:I393),"")</f>
        <v/>
      </c>
      <c r="K393">
        <f t="shared" si="37"/>
        <v>0</v>
      </c>
      <c r="L393">
        <f>IF(AND($K393=1,'All Data'!$D393&lt;&gt;"",COUNTIFS($K$2:K392,1,'All Data'!$D$2:$D392,'All Data'!$D393)=0),1,0)</f>
        <v>0</v>
      </c>
      <c r="M393" t="str">
        <f>IF($L393=1,SUM($L$2:L393),"")</f>
        <v/>
      </c>
      <c r="N393">
        <f t="shared" si="38"/>
        <v>0</v>
      </c>
      <c r="O393">
        <f>IF(AND($N393=1,'All Data'!$E393&lt;&gt;"",COUNTIFS($N$2:N392,1,'All Data'!$E$2:$E392,'All Data'!$E393)=0),1,0)</f>
        <v>0</v>
      </c>
      <c r="P393" t="str">
        <f>IF($O393=1,SUM($O$2:O393),"")</f>
        <v/>
      </c>
      <c r="Q393">
        <f t="shared" si="39"/>
        <v>0</v>
      </c>
      <c r="R393">
        <f>IF(AND($Q393=1,'All Data'!$F393&lt;&gt;"",COUNTIFS($Q$2:Q392,1,'All Data'!$F$2:$F392,'All Data'!$F393)=0),1,0)</f>
        <v>0</v>
      </c>
      <c r="S393" t="str">
        <f>IF($R393=1,SUM($R$2:R393),"")</f>
        <v/>
      </c>
      <c r="T393">
        <f t="shared" si="40"/>
        <v>0</v>
      </c>
      <c r="U393">
        <f>IF(AND($T393=1,'All Data'!$G393&lt;&gt;"",COUNTIFS($T$2:T392,1,'All Data'!$G$2:$G392,'All Data'!$G393)=0),1,0)</f>
        <v>0</v>
      </c>
      <c r="V393" t="str">
        <f>IF($U393=1,SUM($U$2:U393),"")</f>
        <v/>
      </c>
      <c r="W393">
        <f t="shared" si="41"/>
        <v>0</v>
      </c>
      <c r="X393" t="str">
        <f>IF($W393=1,SUM($W$2:W393),"")</f>
        <v/>
      </c>
    </row>
    <row r="394" spans="1:24" x14ac:dyDescent="0.3">
      <c r="A394">
        <f>IF(OR($BA1="Any",$BA1=""),1,IF('All Data'!$B394=$BA1,1,0))</f>
        <v>0</v>
      </c>
      <c r="B394">
        <f>IF(OR($BA2="Any",$BA2=""),1,IF('All Data'!$C394=$BA2,1,0))</f>
        <v>1</v>
      </c>
      <c r="C394">
        <f>IF(OR($BA3="Any",$BA3=""),1,IF('All Data'!$D394=$BA3,1,0))</f>
        <v>1</v>
      </c>
      <c r="D394">
        <f>IF(OR($BA4="Any",$BA4=""),1,IF('All Data'!$E394=$BA4,1,0))</f>
        <v>1</v>
      </c>
      <c r="E394">
        <f>IF(OR($BA5="Any",$BA5=""),1,IF('All Data'!$F394=$BA5,1,0))</f>
        <v>1</v>
      </c>
      <c r="F394">
        <f>IF(OR($BA6="Any",$BA6=""),1,IF('All Data'!$G394=$BA6,1,0))</f>
        <v>0</v>
      </c>
      <c r="G394">
        <f>IF(AND(OR($BA$8="",ISNUMBER(SEARCH($BA$8,'All Data'!$K394&amp;" "&amp;'All Data'!$M394))),OR($BA$9="",ISNUMBER(SEARCH($BA$9,'All Data'!$K394&amp;" "&amp;'All Data'!$M394))),OR($BA$10="",ISNUMBER(SEARCH($BA$10,'All Data'!$K394&amp;" "&amp;'All Data'!$M394))),OR($BA$11="",ISNUMBER(SEARCH($BA$11,'All Data'!$K394&amp;" "&amp;'All Data'!$M394))),OR($BA$12="",ISNUMBER(SEARCH($BA$12,'All Data'!$K394&amp;" "&amp;'All Data'!$M394))),OR($BA$13="",ISNUMBER(SEARCH($BA$13,'All Data'!$K394&amp;" "&amp;'All Data'!$M394))),OR($BA$14="",ISNUMBER(SEARCH($BA$14,'All Data'!$K394&amp;" "&amp;'All Data'!$M394))),OR($BA$15="",ISNUMBER(SEARCH($BA$15,'All Data'!$K394&amp;" "&amp;'All Data'!$M394)))),1,0)</f>
        <v>1</v>
      </c>
      <c r="H394">
        <f t="shared" si="36"/>
        <v>0</v>
      </c>
      <c r="I394">
        <f>IF(AND($H394=1,'All Data'!$C394&lt;&gt;"",COUNTIFS($H$2:H393,1,'All Data'!$C$2:$C393,'All Data'!$C394)=0),1,0)</f>
        <v>0</v>
      </c>
      <c r="J394" t="str">
        <f>IF($I394=1,SUM($I$2:I394),"")</f>
        <v/>
      </c>
      <c r="K394">
        <f t="shared" si="37"/>
        <v>0</v>
      </c>
      <c r="L394">
        <f>IF(AND($K394=1,'All Data'!$D394&lt;&gt;"",COUNTIFS($K$2:K393,1,'All Data'!$D$2:$D393,'All Data'!$D394)=0),1,0)</f>
        <v>0</v>
      </c>
      <c r="M394" t="str">
        <f>IF($L394=1,SUM($L$2:L394),"")</f>
        <v/>
      </c>
      <c r="N394">
        <f t="shared" si="38"/>
        <v>0</v>
      </c>
      <c r="O394">
        <f>IF(AND($N394=1,'All Data'!$E394&lt;&gt;"",COUNTIFS($N$2:N393,1,'All Data'!$E$2:$E393,'All Data'!$E394)=0),1,0)</f>
        <v>0</v>
      </c>
      <c r="P394" t="str">
        <f>IF($O394=1,SUM($O$2:O394),"")</f>
        <v/>
      </c>
      <c r="Q394">
        <f t="shared" si="39"/>
        <v>0</v>
      </c>
      <c r="R394">
        <f>IF(AND($Q394=1,'All Data'!$F394&lt;&gt;"",COUNTIFS($Q$2:Q393,1,'All Data'!$F$2:$F393,'All Data'!$F394)=0),1,0)</f>
        <v>0</v>
      </c>
      <c r="S394" t="str">
        <f>IF($R394=1,SUM($R$2:R394),"")</f>
        <v/>
      </c>
      <c r="T394">
        <f t="shared" si="40"/>
        <v>0</v>
      </c>
      <c r="U394">
        <f>IF(AND($T394=1,'All Data'!$G394&lt;&gt;"",COUNTIFS($T$2:T393,1,'All Data'!$G$2:$G393,'All Data'!$G394)=0),1,0)</f>
        <v>0</v>
      </c>
      <c r="V394" t="str">
        <f>IF($U394=1,SUM($U$2:U394),"")</f>
        <v/>
      </c>
      <c r="W394">
        <f t="shared" si="41"/>
        <v>0</v>
      </c>
      <c r="X394" t="str">
        <f>IF($W394=1,SUM($W$2:W394),"")</f>
        <v/>
      </c>
    </row>
    <row r="395" spans="1:24" x14ac:dyDescent="0.3">
      <c r="A395">
        <f>IF(OR($BA1="Any",$BA1=""),1,IF('All Data'!$B395=$BA1,1,0))</f>
        <v>0</v>
      </c>
      <c r="B395">
        <f>IF(OR($BA2="Any",$BA2=""),1,IF('All Data'!$C395=$BA2,1,0))</f>
        <v>1</v>
      </c>
      <c r="C395">
        <f>IF(OR($BA3="Any",$BA3=""),1,IF('All Data'!$D395=$BA3,1,0))</f>
        <v>1</v>
      </c>
      <c r="D395">
        <f>IF(OR($BA4="Any",$BA4=""),1,IF('All Data'!$E395=$BA4,1,0))</f>
        <v>1</v>
      </c>
      <c r="E395">
        <f>IF(OR($BA5="Any",$BA5=""),1,IF('All Data'!$F395=$BA5,1,0))</f>
        <v>1</v>
      </c>
      <c r="F395">
        <f>IF(OR($BA6="Any",$BA6=""),1,IF('All Data'!$G395=$BA6,1,0))</f>
        <v>1</v>
      </c>
      <c r="G395">
        <f>IF(AND(OR($BA$8="",ISNUMBER(SEARCH($BA$8,'All Data'!$K395&amp;" "&amp;'All Data'!$M395))),OR($BA$9="",ISNUMBER(SEARCH($BA$9,'All Data'!$K395&amp;" "&amp;'All Data'!$M395))),OR($BA$10="",ISNUMBER(SEARCH($BA$10,'All Data'!$K395&amp;" "&amp;'All Data'!$M395))),OR($BA$11="",ISNUMBER(SEARCH($BA$11,'All Data'!$K395&amp;" "&amp;'All Data'!$M395))),OR($BA$12="",ISNUMBER(SEARCH($BA$12,'All Data'!$K395&amp;" "&amp;'All Data'!$M395))),OR($BA$13="",ISNUMBER(SEARCH($BA$13,'All Data'!$K395&amp;" "&amp;'All Data'!$M395))),OR($BA$14="",ISNUMBER(SEARCH($BA$14,'All Data'!$K395&amp;" "&amp;'All Data'!$M395))),OR($BA$15="",ISNUMBER(SEARCH($BA$15,'All Data'!$K395&amp;" "&amp;'All Data'!$M395)))),1,0)</f>
        <v>1</v>
      </c>
      <c r="H395">
        <f t="shared" si="36"/>
        <v>0</v>
      </c>
      <c r="I395">
        <f>IF(AND($H395=1,'All Data'!$C395&lt;&gt;"",COUNTIFS($H$2:H394,1,'All Data'!$C$2:$C394,'All Data'!$C395)=0),1,0)</f>
        <v>0</v>
      </c>
      <c r="J395" t="str">
        <f>IF($I395=1,SUM($I$2:I395),"")</f>
        <v/>
      </c>
      <c r="K395">
        <f t="shared" si="37"/>
        <v>0</v>
      </c>
      <c r="L395">
        <f>IF(AND($K395=1,'All Data'!$D395&lt;&gt;"",COUNTIFS($K$2:K394,1,'All Data'!$D$2:$D394,'All Data'!$D395)=0),1,0)</f>
        <v>0</v>
      </c>
      <c r="M395" t="str">
        <f>IF($L395=1,SUM($L$2:L395),"")</f>
        <v/>
      </c>
      <c r="N395">
        <f t="shared" si="38"/>
        <v>0</v>
      </c>
      <c r="O395">
        <f>IF(AND($N395=1,'All Data'!$E395&lt;&gt;"",COUNTIFS($N$2:N394,1,'All Data'!$E$2:$E394,'All Data'!$E395)=0),1,0)</f>
        <v>0</v>
      </c>
      <c r="P395" t="str">
        <f>IF($O395=1,SUM($O$2:O395),"")</f>
        <v/>
      </c>
      <c r="Q395">
        <f t="shared" si="39"/>
        <v>0</v>
      </c>
      <c r="R395">
        <f>IF(AND($Q395=1,'All Data'!$F395&lt;&gt;"",COUNTIFS($Q$2:Q394,1,'All Data'!$F$2:$F394,'All Data'!$F395)=0),1,0)</f>
        <v>0</v>
      </c>
      <c r="S395" t="str">
        <f>IF($R395=1,SUM($R$2:R395),"")</f>
        <v/>
      </c>
      <c r="T395">
        <f t="shared" si="40"/>
        <v>0</v>
      </c>
      <c r="U395">
        <f>IF(AND($T395=1,'All Data'!$G395&lt;&gt;"",COUNTIFS($T$2:T394,1,'All Data'!$G$2:$G394,'All Data'!$G395)=0),1,0)</f>
        <v>0</v>
      </c>
      <c r="V395" t="str">
        <f>IF($U395=1,SUM($U$2:U395),"")</f>
        <v/>
      </c>
      <c r="W395">
        <f t="shared" si="41"/>
        <v>0</v>
      </c>
      <c r="X395" t="str">
        <f>IF($W395=1,SUM($W$2:W395),"")</f>
        <v/>
      </c>
    </row>
    <row r="396" spans="1:24" x14ac:dyDescent="0.3">
      <c r="A396">
        <f>IF(OR($BA1="Any",$BA1=""),1,IF('All Data'!$B396=$BA1,1,0))</f>
        <v>0</v>
      </c>
      <c r="B396">
        <f>IF(OR($BA2="Any",$BA2=""),1,IF('All Data'!$C396=$BA2,1,0))</f>
        <v>1</v>
      </c>
      <c r="C396">
        <f>IF(OR($BA3="Any",$BA3=""),1,IF('All Data'!$D396=$BA3,1,0))</f>
        <v>1</v>
      </c>
      <c r="D396">
        <f>IF(OR($BA4="Any",$BA4=""),1,IF('All Data'!$E396=$BA4,1,0))</f>
        <v>1</v>
      </c>
      <c r="E396">
        <f>IF(OR($BA5="Any",$BA5=""),1,IF('All Data'!$F396=$BA5,1,0))</f>
        <v>1</v>
      </c>
      <c r="F396">
        <f>IF(OR($BA6="Any",$BA6=""),1,IF('All Data'!$G396=$BA6,1,0))</f>
        <v>0</v>
      </c>
      <c r="G396">
        <f>IF(AND(OR($BA$8="",ISNUMBER(SEARCH($BA$8,'All Data'!$K396&amp;" "&amp;'All Data'!$M396))),OR($BA$9="",ISNUMBER(SEARCH($BA$9,'All Data'!$K396&amp;" "&amp;'All Data'!$M396))),OR($BA$10="",ISNUMBER(SEARCH($BA$10,'All Data'!$K396&amp;" "&amp;'All Data'!$M396))),OR($BA$11="",ISNUMBER(SEARCH($BA$11,'All Data'!$K396&amp;" "&amp;'All Data'!$M396))),OR($BA$12="",ISNUMBER(SEARCH($BA$12,'All Data'!$K396&amp;" "&amp;'All Data'!$M396))),OR($BA$13="",ISNUMBER(SEARCH($BA$13,'All Data'!$K396&amp;" "&amp;'All Data'!$M396))),OR($BA$14="",ISNUMBER(SEARCH($BA$14,'All Data'!$K396&amp;" "&amp;'All Data'!$M396))),OR($BA$15="",ISNUMBER(SEARCH($BA$15,'All Data'!$K396&amp;" "&amp;'All Data'!$M396)))),1,0)</f>
        <v>1</v>
      </c>
      <c r="H396">
        <f t="shared" si="36"/>
        <v>0</v>
      </c>
      <c r="I396">
        <f>IF(AND($H396=1,'All Data'!$C396&lt;&gt;"",COUNTIFS($H$2:H395,1,'All Data'!$C$2:$C395,'All Data'!$C396)=0),1,0)</f>
        <v>0</v>
      </c>
      <c r="J396" t="str">
        <f>IF($I396=1,SUM($I$2:I396),"")</f>
        <v/>
      </c>
      <c r="K396">
        <f t="shared" si="37"/>
        <v>0</v>
      </c>
      <c r="L396">
        <f>IF(AND($K396=1,'All Data'!$D396&lt;&gt;"",COUNTIFS($K$2:K395,1,'All Data'!$D$2:$D395,'All Data'!$D396)=0),1,0)</f>
        <v>0</v>
      </c>
      <c r="M396" t="str">
        <f>IF($L396=1,SUM($L$2:L396),"")</f>
        <v/>
      </c>
      <c r="N396">
        <f t="shared" si="38"/>
        <v>0</v>
      </c>
      <c r="O396">
        <f>IF(AND($N396=1,'All Data'!$E396&lt;&gt;"",COUNTIFS($N$2:N395,1,'All Data'!$E$2:$E395,'All Data'!$E396)=0),1,0)</f>
        <v>0</v>
      </c>
      <c r="P396" t="str">
        <f>IF($O396=1,SUM($O$2:O396),"")</f>
        <v/>
      </c>
      <c r="Q396">
        <f t="shared" si="39"/>
        <v>0</v>
      </c>
      <c r="R396">
        <f>IF(AND($Q396=1,'All Data'!$F396&lt;&gt;"",COUNTIFS($Q$2:Q395,1,'All Data'!$F$2:$F395,'All Data'!$F396)=0),1,0)</f>
        <v>0</v>
      </c>
      <c r="S396" t="str">
        <f>IF($R396=1,SUM($R$2:R396),"")</f>
        <v/>
      </c>
      <c r="T396">
        <f t="shared" si="40"/>
        <v>0</v>
      </c>
      <c r="U396">
        <f>IF(AND($T396=1,'All Data'!$G396&lt;&gt;"",COUNTIFS($T$2:T395,1,'All Data'!$G$2:$G395,'All Data'!$G396)=0),1,0)</f>
        <v>0</v>
      </c>
      <c r="V396" t="str">
        <f>IF($U396=1,SUM($U$2:U396),"")</f>
        <v/>
      </c>
      <c r="W396">
        <f t="shared" si="41"/>
        <v>0</v>
      </c>
      <c r="X396" t="str">
        <f>IF($W396=1,SUM($W$2:W396),"")</f>
        <v/>
      </c>
    </row>
    <row r="397" spans="1:24" x14ac:dyDescent="0.3">
      <c r="A397">
        <f>IF(OR($BA1="Any",$BA1=""),1,IF('All Data'!$B397=$BA1,1,0))</f>
        <v>0</v>
      </c>
      <c r="B397">
        <f>IF(OR($BA2="Any",$BA2=""),1,IF('All Data'!$C397=$BA2,1,0))</f>
        <v>1</v>
      </c>
      <c r="C397">
        <f>IF(OR($BA3="Any",$BA3=""),1,IF('All Data'!$D397=$BA3,1,0))</f>
        <v>1</v>
      </c>
      <c r="D397">
        <f>IF(OR($BA4="Any",$BA4=""),1,IF('All Data'!$E397=$BA4,1,0))</f>
        <v>1</v>
      </c>
      <c r="E397">
        <f>IF(OR($BA5="Any",$BA5=""),1,IF('All Data'!$F397=$BA5,1,0))</f>
        <v>1</v>
      </c>
      <c r="F397">
        <f>IF(OR($BA6="Any",$BA6=""),1,IF('All Data'!$G397=$BA6,1,0))</f>
        <v>0</v>
      </c>
      <c r="G397">
        <f>IF(AND(OR($BA$8="",ISNUMBER(SEARCH($BA$8,'All Data'!$K397&amp;" "&amp;'All Data'!$M397))),OR($BA$9="",ISNUMBER(SEARCH($BA$9,'All Data'!$K397&amp;" "&amp;'All Data'!$M397))),OR($BA$10="",ISNUMBER(SEARCH($BA$10,'All Data'!$K397&amp;" "&amp;'All Data'!$M397))),OR($BA$11="",ISNUMBER(SEARCH($BA$11,'All Data'!$K397&amp;" "&amp;'All Data'!$M397))),OR($BA$12="",ISNUMBER(SEARCH($BA$12,'All Data'!$K397&amp;" "&amp;'All Data'!$M397))),OR($BA$13="",ISNUMBER(SEARCH($BA$13,'All Data'!$K397&amp;" "&amp;'All Data'!$M397))),OR($BA$14="",ISNUMBER(SEARCH($BA$14,'All Data'!$K397&amp;" "&amp;'All Data'!$M397))),OR($BA$15="",ISNUMBER(SEARCH($BA$15,'All Data'!$K397&amp;" "&amp;'All Data'!$M397)))),1,0)</f>
        <v>1</v>
      </c>
      <c r="H397">
        <f t="shared" si="36"/>
        <v>0</v>
      </c>
      <c r="I397">
        <f>IF(AND($H397=1,'All Data'!$C397&lt;&gt;"",COUNTIFS($H$2:H396,1,'All Data'!$C$2:$C396,'All Data'!$C397)=0),1,0)</f>
        <v>0</v>
      </c>
      <c r="J397" t="str">
        <f>IF($I397=1,SUM($I$2:I397),"")</f>
        <v/>
      </c>
      <c r="K397">
        <f t="shared" si="37"/>
        <v>0</v>
      </c>
      <c r="L397">
        <f>IF(AND($K397=1,'All Data'!$D397&lt;&gt;"",COUNTIFS($K$2:K396,1,'All Data'!$D$2:$D396,'All Data'!$D397)=0),1,0)</f>
        <v>0</v>
      </c>
      <c r="M397" t="str">
        <f>IF($L397=1,SUM($L$2:L397),"")</f>
        <v/>
      </c>
      <c r="N397">
        <f t="shared" si="38"/>
        <v>0</v>
      </c>
      <c r="O397">
        <f>IF(AND($N397=1,'All Data'!$E397&lt;&gt;"",COUNTIFS($N$2:N396,1,'All Data'!$E$2:$E396,'All Data'!$E397)=0),1,0)</f>
        <v>0</v>
      </c>
      <c r="P397" t="str">
        <f>IF($O397=1,SUM($O$2:O397),"")</f>
        <v/>
      </c>
      <c r="Q397">
        <f t="shared" si="39"/>
        <v>0</v>
      </c>
      <c r="R397">
        <f>IF(AND($Q397=1,'All Data'!$F397&lt;&gt;"",COUNTIFS($Q$2:Q396,1,'All Data'!$F$2:$F396,'All Data'!$F397)=0),1,0)</f>
        <v>0</v>
      </c>
      <c r="S397" t="str">
        <f>IF($R397=1,SUM($R$2:R397),"")</f>
        <v/>
      </c>
      <c r="T397">
        <f t="shared" si="40"/>
        <v>0</v>
      </c>
      <c r="U397">
        <f>IF(AND($T397=1,'All Data'!$G397&lt;&gt;"",COUNTIFS($T$2:T396,1,'All Data'!$G$2:$G396,'All Data'!$G397)=0),1,0)</f>
        <v>0</v>
      </c>
      <c r="V397" t="str">
        <f>IF($U397=1,SUM($U$2:U397),"")</f>
        <v/>
      </c>
      <c r="W397">
        <f t="shared" si="41"/>
        <v>0</v>
      </c>
      <c r="X397" t="str">
        <f>IF($W397=1,SUM($W$2:W397),"")</f>
        <v/>
      </c>
    </row>
    <row r="398" spans="1:24" x14ac:dyDescent="0.3">
      <c r="A398">
        <f>IF(OR($BA1="Any",$BA1=""),1,IF('All Data'!$B398=$BA1,1,0))</f>
        <v>0</v>
      </c>
      <c r="B398">
        <f>IF(OR($BA2="Any",$BA2=""),1,IF('All Data'!$C398=$BA2,1,0))</f>
        <v>1</v>
      </c>
      <c r="C398">
        <f>IF(OR($BA3="Any",$BA3=""),1,IF('All Data'!$D398=$BA3,1,0))</f>
        <v>1</v>
      </c>
      <c r="D398">
        <f>IF(OR($BA4="Any",$BA4=""),1,IF('All Data'!$E398=$BA4,1,0))</f>
        <v>1</v>
      </c>
      <c r="E398">
        <f>IF(OR($BA5="Any",$BA5=""),1,IF('All Data'!$F398=$BA5,1,0))</f>
        <v>1</v>
      </c>
      <c r="F398">
        <f>IF(OR($BA6="Any",$BA6=""),1,IF('All Data'!$G398=$BA6,1,0))</f>
        <v>0</v>
      </c>
      <c r="G398">
        <f>IF(AND(OR($BA$8="",ISNUMBER(SEARCH($BA$8,'All Data'!$K398&amp;" "&amp;'All Data'!$M398))),OR($BA$9="",ISNUMBER(SEARCH($BA$9,'All Data'!$K398&amp;" "&amp;'All Data'!$M398))),OR($BA$10="",ISNUMBER(SEARCH($BA$10,'All Data'!$K398&amp;" "&amp;'All Data'!$M398))),OR($BA$11="",ISNUMBER(SEARCH($BA$11,'All Data'!$K398&amp;" "&amp;'All Data'!$M398))),OR($BA$12="",ISNUMBER(SEARCH($BA$12,'All Data'!$K398&amp;" "&amp;'All Data'!$M398))),OR($BA$13="",ISNUMBER(SEARCH($BA$13,'All Data'!$K398&amp;" "&amp;'All Data'!$M398))),OR($BA$14="",ISNUMBER(SEARCH($BA$14,'All Data'!$K398&amp;" "&amp;'All Data'!$M398))),OR($BA$15="",ISNUMBER(SEARCH($BA$15,'All Data'!$K398&amp;" "&amp;'All Data'!$M398)))),1,0)</f>
        <v>1</v>
      </c>
      <c r="H398">
        <f t="shared" si="36"/>
        <v>0</v>
      </c>
      <c r="I398">
        <f>IF(AND($H398=1,'All Data'!$C398&lt;&gt;"",COUNTIFS($H$2:H397,1,'All Data'!$C$2:$C397,'All Data'!$C398)=0),1,0)</f>
        <v>0</v>
      </c>
      <c r="J398" t="str">
        <f>IF($I398=1,SUM($I$2:I398),"")</f>
        <v/>
      </c>
      <c r="K398">
        <f t="shared" si="37"/>
        <v>0</v>
      </c>
      <c r="L398">
        <f>IF(AND($K398=1,'All Data'!$D398&lt;&gt;"",COUNTIFS($K$2:K397,1,'All Data'!$D$2:$D397,'All Data'!$D398)=0),1,0)</f>
        <v>0</v>
      </c>
      <c r="M398" t="str">
        <f>IF($L398=1,SUM($L$2:L398),"")</f>
        <v/>
      </c>
      <c r="N398">
        <f t="shared" si="38"/>
        <v>0</v>
      </c>
      <c r="O398">
        <f>IF(AND($N398=1,'All Data'!$E398&lt;&gt;"",COUNTIFS($N$2:N397,1,'All Data'!$E$2:$E397,'All Data'!$E398)=0),1,0)</f>
        <v>0</v>
      </c>
      <c r="P398" t="str">
        <f>IF($O398=1,SUM($O$2:O398),"")</f>
        <v/>
      </c>
      <c r="Q398">
        <f t="shared" si="39"/>
        <v>0</v>
      </c>
      <c r="R398">
        <f>IF(AND($Q398=1,'All Data'!$F398&lt;&gt;"",COUNTIFS($Q$2:Q397,1,'All Data'!$F$2:$F397,'All Data'!$F398)=0),1,0)</f>
        <v>0</v>
      </c>
      <c r="S398" t="str">
        <f>IF($R398=1,SUM($R$2:R398),"")</f>
        <v/>
      </c>
      <c r="T398">
        <f t="shared" si="40"/>
        <v>0</v>
      </c>
      <c r="U398">
        <f>IF(AND($T398=1,'All Data'!$G398&lt;&gt;"",COUNTIFS($T$2:T397,1,'All Data'!$G$2:$G397,'All Data'!$G398)=0),1,0)</f>
        <v>0</v>
      </c>
      <c r="V398" t="str">
        <f>IF($U398=1,SUM($U$2:U398),"")</f>
        <v/>
      </c>
      <c r="W398">
        <f t="shared" si="41"/>
        <v>0</v>
      </c>
      <c r="X398" t="str">
        <f>IF($W398=1,SUM($W$2:W398),"")</f>
        <v/>
      </c>
    </row>
    <row r="399" spans="1:24" x14ac:dyDescent="0.3">
      <c r="A399">
        <f>IF(OR($BA1="Any",$BA1=""),1,IF('All Data'!$B399=$BA1,1,0))</f>
        <v>0</v>
      </c>
      <c r="B399">
        <f>IF(OR($BA2="Any",$BA2=""),1,IF('All Data'!$C399=$BA2,1,0))</f>
        <v>1</v>
      </c>
      <c r="C399">
        <f>IF(OR($BA3="Any",$BA3=""),1,IF('All Data'!$D399=$BA3,1,0))</f>
        <v>1</v>
      </c>
      <c r="D399">
        <f>IF(OR($BA4="Any",$BA4=""),1,IF('All Data'!$E399=$BA4,1,0))</f>
        <v>1</v>
      </c>
      <c r="E399">
        <f>IF(OR($BA5="Any",$BA5=""),1,IF('All Data'!$F399=$BA5,1,0))</f>
        <v>1</v>
      </c>
      <c r="F399">
        <f>IF(OR($BA6="Any",$BA6=""),1,IF('All Data'!$G399=$BA6,1,0))</f>
        <v>0</v>
      </c>
      <c r="G399">
        <f>IF(AND(OR($BA$8="",ISNUMBER(SEARCH($BA$8,'All Data'!$K399&amp;" "&amp;'All Data'!$M399))),OR($BA$9="",ISNUMBER(SEARCH($BA$9,'All Data'!$K399&amp;" "&amp;'All Data'!$M399))),OR($BA$10="",ISNUMBER(SEARCH($BA$10,'All Data'!$K399&amp;" "&amp;'All Data'!$M399))),OR($BA$11="",ISNUMBER(SEARCH($BA$11,'All Data'!$K399&amp;" "&amp;'All Data'!$M399))),OR($BA$12="",ISNUMBER(SEARCH($BA$12,'All Data'!$K399&amp;" "&amp;'All Data'!$M399))),OR($BA$13="",ISNUMBER(SEARCH($BA$13,'All Data'!$K399&amp;" "&amp;'All Data'!$M399))),OR($BA$14="",ISNUMBER(SEARCH($BA$14,'All Data'!$K399&amp;" "&amp;'All Data'!$M399))),OR($BA$15="",ISNUMBER(SEARCH($BA$15,'All Data'!$K399&amp;" "&amp;'All Data'!$M399)))),1,0)</f>
        <v>1</v>
      </c>
      <c r="H399">
        <f t="shared" si="36"/>
        <v>0</v>
      </c>
      <c r="I399">
        <f>IF(AND($H399=1,'All Data'!$C399&lt;&gt;"",COUNTIFS($H$2:H398,1,'All Data'!$C$2:$C398,'All Data'!$C399)=0),1,0)</f>
        <v>0</v>
      </c>
      <c r="J399" t="str">
        <f>IF($I399=1,SUM($I$2:I399),"")</f>
        <v/>
      </c>
      <c r="K399">
        <f t="shared" si="37"/>
        <v>0</v>
      </c>
      <c r="L399">
        <f>IF(AND($K399=1,'All Data'!$D399&lt;&gt;"",COUNTIFS($K$2:K398,1,'All Data'!$D$2:$D398,'All Data'!$D399)=0),1,0)</f>
        <v>0</v>
      </c>
      <c r="M399" t="str">
        <f>IF($L399=1,SUM($L$2:L399),"")</f>
        <v/>
      </c>
      <c r="N399">
        <f t="shared" si="38"/>
        <v>0</v>
      </c>
      <c r="O399">
        <f>IF(AND($N399=1,'All Data'!$E399&lt;&gt;"",COUNTIFS($N$2:N398,1,'All Data'!$E$2:$E398,'All Data'!$E399)=0),1,0)</f>
        <v>0</v>
      </c>
      <c r="P399" t="str">
        <f>IF($O399=1,SUM($O$2:O399),"")</f>
        <v/>
      </c>
      <c r="Q399">
        <f t="shared" si="39"/>
        <v>0</v>
      </c>
      <c r="R399">
        <f>IF(AND($Q399=1,'All Data'!$F399&lt;&gt;"",COUNTIFS($Q$2:Q398,1,'All Data'!$F$2:$F398,'All Data'!$F399)=0),1,0)</f>
        <v>0</v>
      </c>
      <c r="S399" t="str">
        <f>IF($R399=1,SUM($R$2:R399),"")</f>
        <v/>
      </c>
      <c r="T399">
        <f t="shared" si="40"/>
        <v>0</v>
      </c>
      <c r="U399">
        <f>IF(AND($T399=1,'All Data'!$G399&lt;&gt;"",COUNTIFS($T$2:T398,1,'All Data'!$G$2:$G398,'All Data'!$G399)=0),1,0)</f>
        <v>0</v>
      </c>
      <c r="V399" t="str">
        <f>IF($U399=1,SUM($U$2:U399),"")</f>
        <v/>
      </c>
      <c r="W399">
        <f t="shared" si="41"/>
        <v>0</v>
      </c>
      <c r="X399" t="str">
        <f>IF($W399=1,SUM($W$2:W399),"")</f>
        <v/>
      </c>
    </row>
    <row r="400" spans="1:24" x14ac:dyDescent="0.3">
      <c r="A400">
        <f>IF(OR($BA1="Any",$BA1=""),1,IF('All Data'!$B400=$BA1,1,0))</f>
        <v>0</v>
      </c>
      <c r="B400">
        <f>IF(OR($BA2="Any",$BA2=""),1,IF('All Data'!$C400=$BA2,1,0))</f>
        <v>1</v>
      </c>
      <c r="C400">
        <f>IF(OR($BA3="Any",$BA3=""),1,IF('All Data'!$D400=$BA3,1,0))</f>
        <v>1</v>
      </c>
      <c r="D400">
        <f>IF(OR($BA4="Any",$BA4=""),1,IF('All Data'!$E400=$BA4,1,0))</f>
        <v>1</v>
      </c>
      <c r="E400">
        <f>IF(OR($BA5="Any",$BA5=""),1,IF('All Data'!$F400=$BA5,1,0))</f>
        <v>1</v>
      </c>
      <c r="F400">
        <f>IF(OR($BA6="Any",$BA6=""),1,IF('All Data'!$G400=$BA6,1,0))</f>
        <v>0</v>
      </c>
      <c r="G400">
        <f>IF(AND(OR($BA$8="",ISNUMBER(SEARCH($BA$8,'All Data'!$K400&amp;" "&amp;'All Data'!$M400))),OR($BA$9="",ISNUMBER(SEARCH($BA$9,'All Data'!$K400&amp;" "&amp;'All Data'!$M400))),OR($BA$10="",ISNUMBER(SEARCH($BA$10,'All Data'!$K400&amp;" "&amp;'All Data'!$M400))),OR($BA$11="",ISNUMBER(SEARCH($BA$11,'All Data'!$K400&amp;" "&amp;'All Data'!$M400))),OR($BA$12="",ISNUMBER(SEARCH($BA$12,'All Data'!$K400&amp;" "&amp;'All Data'!$M400))),OR($BA$13="",ISNUMBER(SEARCH($BA$13,'All Data'!$K400&amp;" "&amp;'All Data'!$M400))),OR($BA$14="",ISNUMBER(SEARCH($BA$14,'All Data'!$K400&amp;" "&amp;'All Data'!$M400))),OR($BA$15="",ISNUMBER(SEARCH($BA$15,'All Data'!$K400&amp;" "&amp;'All Data'!$M400)))),1,0)</f>
        <v>1</v>
      </c>
      <c r="H400">
        <f t="shared" si="36"/>
        <v>0</v>
      </c>
      <c r="I400">
        <f>IF(AND($H400=1,'All Data'!$C400&lt;&gt;"",COUNTIFS($H$2:H399,1,'All Data'!$C$2:$C399,'All Data'!$C400)=0),1,0)</f>
        <v>0</v>
      </c>
      <c r="J400" t="str">
        <f>IF($I400=1,SUM($I$2:I400),"")</f>
        <v/>
      </c>
      <c r="K400">
        <f t="shared" si="37"/>
        <v>0</v>
      </c>
      <c r="L400">
        <f>IF(AND($K400=1,'All Data'!$D400&lt;&gt;"",COUNTIFS($K$2:K399,1,'All Data'!$D$2:$D399,'All Data'!$D400)=0),1,0)</f>
        <v>0</v>
      </c>
      <c r="M400" t="str">
        <f>IF($L400=1,SUM($L$2:L400),"")</f>
        <v/>
      </c>
      <c r="N400">
        <f t="shared" si="38"/>
        <v>0</v>
      </c>
      <c r="O400">
        <f>IF(AND($N400=1,'All Data'!$E400&lt;&gt;"",COUNTIFS($N$2:N399,1,'All Data'!$E$2:$E399,'All Data'!$E400)=0),1,0)</f>
        <v>0</v>
      </c>
      <c r="P400" t="str">
        <f>IF($O400=1,SUM($O$2:O400),"")</f>
        <v/>
      </c>
      <c r="Q400">
        <f t="shared" si="39"/>
        <v>0</v>
      </c>
      <c r="R400">
        <f>IF(AND($Q400=1,'All Data'!$F400&lt;&gt;"",COUNTIFS($Q$2:Q399,1,'All Data'!$F$2:$F399,'All Data'!$F400)=0),1,0)</f>
        <v>0</v>
      </c>
      <c r="S400" t="str">
        <f>IF($R400=1,SUM($R$2:R400),"")</f>
        <v/>
      </c>
      <c r="T400">
        <f t="shared" si="40"/>
        <v>0</v>
      </c>
      <c r="U400">
        <f>IF(AND($T400=1,'All Data'!$G400&lt;&gt;"",COUNTIFS($T$2:T399,1,'All Data'!$G$2:$G399,'All Data'!$G400)=0),1,0)</f>
        <v>0</v>
      </c>
      <c r="V400" t="str">
        <f>IF($U400=1,SUM($U$2:U400),"")</f>
        <v/>
      </c>
      <c r="W400">
        <f t="shared" si="41"/>
        <v>0</v>
      </c>
      <c r="X400" t="str">
        <f>IF($W400=1,SUM($W$2:W400),"")</f>
        <v/>
      </c>
    </row>
    <row r="401" spans="1:24" x14ac:dyDescent="0.3">
      <c r="A401">
        <f>IF(OR($BA1="Any",$BA1=""),1,IF('All Data'!$B401=$BA1,1,0))</f>
        <v>0</v>
      </c>
      <c r="B401">
        <f>IF(OR($BA2="Any",$BA2=""),1,IF('All Data'!$C401=$BA2,1,0))</f>
        <v>1</v>
      </c>
      <c r="C401">
        <f>IF(OR($BA3="Any",$BA3=""),1,IF('All Data'!$D401=$BA3,1,0))</f>
        <v>1</v>
      </c>
      <c r="D401">
        <f>IF(OR($BA4="Any",$BA4=""),1,IF('All Data'!$E401=$BA4,1,0))</f>
        <v>1</v>
      </c>
      <c r="E401">
        <f>IF(OR($BA5="Any",$BA5=""),1,IF('All Data'!$F401=$BA5,1,0))</f>
        <v>1</v>
      </c>
      <c r="F401">
        <f>IF(OR($BA6="Any",$BA6=""),1,IF('All Data'!$G401=$BA6,1,0))</f>
        <v>0</v>
      </c>
      <c r="G401">
        <f>IF(AND(OR($BA$8="",ISNUMBER(SEARCH($BA$8,'All Data'!$K401&amp;" "&amp;'All Data'!$M401))),OR($BA$9="",ISNUMBER(SEARCH($BA$9,'All Data'!$K401&amp;" "&amp;'All Data'!$M401))),OR($BA$10="",ISNUMBER(SEARCH($BA$10,'All Data'!$K401&amp;" "&amp;'All Data'!$M401))),OR($BA$11="",ISNUMBER(SEARCH($BA$11,'All Data'!$K401&amp;" "&amp;'All Data'!$M401))),OR($BA$12="",ISNUMBER(SEARCH($BA$12,'All Data'!$K401&amp;" "&amp;'All Data'!$M401))),OR($BA$13="",ISNUMBER(SEARCH($BA$13,'All Data'!$K401&amp;" "&amp;'All Data'!$M401))),OR($BA$14="",ISNUMBER(SEARCH($BA$14,'All Data'!$K401&amp;" "&amp;'All Data'!$M401))),OR($BA$15="",ISNUMBER(SEARCH($BA$15,'All Data'!$K401&amp;" "&amp;'All Data'!$M401)))),1,0)</f>
        <v>1</v>
      </c>
      <c r="H401">
        <f t="shared" si="36"/>
        <v>0</v>
      </c>
      <c r="I401">
        <f>IF(AND($H401=1,'All Data'!$C401&lt;&gt;"",COUNTIFS($H$2:H400,1,'All Data'!$C$2:$C400,'All Data'!$C401)=0),1,0)</f>
        <v>0</v>
      </c>
      <c r="J401" t="str">
        <f>IF($I401=1,SUM($I$2:I401),"")</f>
        <v/>
      </c>
      <c r="K401">
        <f t="shared" si="37"/>
        <v>0</v>
      </c>
      <c r="L401">
        <f>IF(AND($K401=1,'All Data'!$D401&lt;&gt;"",COUNTIFS($K$2:K400,1,'All Data'!$D$2:$D400,'All Data'!$D401)=0),1,0)</f>
        <v>0</v>
      </c>
      <c r="M401" t="str">
        <f>IF($L401=1,SUM($L$2:L401),"")</f>
        <v/>
      </c>
      <c r="N401">
        <f t="shared" si="38"/>
        <v>0</v>
      </c>
      <c r="O401">
        <f>IF(AND($N401=1,'All Data'!$E401&lt;&gt;"",COUNTIFS($N$2:N400,1,'All Data'!$E$2:$E400,'All Data'!$E401)=0),1,0)</f>
        <v>0</v>
      </c>
      <c r="P401" t="str">
        <f>IF($O401=1,SUM($O$2:O401),"")</f>
        <v/>
      </c>
      <c r="Q401">
        <f t="shared" si="39"/>
        <v>0</v>
      </c>
      <c r="R401">
        <f>IF(AND($Q401=1,'All Data'!$F401&lt;&gt;"",COUNTIFS($Q$2:Q400,1,'All Data'!$F$2:$F400,'All Data'!$F401)=0),1,0)</f>
        <v>0</v>
      </c>
      <c r="S401" t="str">
        <f>IF($R401=1,SUM($R$2:R401),"")</f>
        <v/>
      </c>
      <c r="T401">
        <f t="shared" si="40"/>
        <v>0</v>
      </c>
      <c r="U401">
        <f>IF(AND($T401=1,'All Data'!$G401&lt;&gt;"",COUNTIFS($T$2:T400,1,'All Data'!$G$2:$G400,'All Data'!$G401)=0),1,0)</f>
        <v>0</v>
      </c>
      <c r="V401" t="str">
        <f>IF($U401=1,SUM($U$2:U401),"")</f>
        <v/>
      </c>
      <c r="W401">
        <f t="shared" si="41"/>
        <v>0</v>
      </c>
      <c r="X401" t="str">
        <f>IF($W401=1,SUM($W$2:W401),"")</f>
        <v/>
      </c>
    </row>
    <row r="402" spans="1:24" x14ac:dyDescent="0.3">
      <c r="A402">
        <f>IF(OR($BA1="Any",$BA1=""),1,IF('All Data'!$B402=$BA1,1,0))</f>
        <v>0</v>
      </c>
      <c r="B402">
        <f>IF(OR($BA2="Any",$BA2=""),1,IF('All Data'!$C402=$BA2,1,0))</f>
        <v>1</v>
      </c>
      <c r="C402">
        <f>IF(OR($BA3="Any",$BA3=""),1,IF('All Data'!$D402=$BA3,1,0))</f>
        <v>1</v>
      </c>
      <c r="D402">
        <f>IF(OR($BA4="Any",$BA4=""),1,IF('All Data'!$E402=$BA4,1,0))</f>
        <v>1</v>
      </c>
      <c r="E402">
        <f>IF(OR($BA5="Any",$BA5=""),1,IF('All Data'!$F402=$BA5,1,0))</f>
        <v>1</v>
      </c>
      <c r="F402">
        <f>IF(OR($BA6="Any",$BA6=""),1,IF('All Data'!$G402=$BA6,1,0))</f>
        <v>1</v>
      </c>
      <c r="G402">
        <f>IF(AND(OR($BA$8="",ISNUMBER(SEARCH($BA$8,'All Data'!$K402&amp;" "&amp;'All Data'!$M402))),OR($BA$9="",ISNUMBER(SEARCH($BA$9,'All Data'!$K402&amp;" "&amp;'All Data'!$M402))),OR($BA$10="",ISNUMBER(SEARCH($BA$10,'All Data'!$K402&amp;" "&amp;'All Data'!$M402))),OR($BA$11="",ISNUMBER(SEARCH($BA$11,'All Data'!$K402&amp;" "&amp;'All Data'!$M402))),OR($BA$12="",ISNUMBER(SEARCH($BA$12,'All Data'!$K402&amp;" "&amp;'All Data'!$M402))),OR($BA$13="",ISNUMBER(SEARCH($BA$13,'All Data'!$K402&amp;" "&amp;'All Data'!$M402))),OR($BA$14="",ISNUMBER(SEARCH($BA$14,'All Data'!$K402&amp;" "&amp;'All Data'!$M402))),OR($BA$15="",ISNUMBER(SEARCH($BA$15,'All Data'!$K402&amp;" "&amp;'All Data'!$M402)))),1,0)</f>
        <v>1</v>
      </c>
      <c r="H402">
        <f t="shared" si="36"/>
        <v>0</v>
      </c>
      <c r="I402">
        <f>IF(AND($H402=1,'All Data'!$C402&lt;&gt;"",COUNTIFS($H$2:H401,1,'All Data'!$C$2:$C401,'All Data'!$C402)=0),1,0)</f>
        <v>0</v>
      </c>
      <c r="J402" t="str">
        <f>IF($I402=1,SUM($I$2:I402),"")</f>
        <v/>
      </c>
      <c r="K402">
        <f t="shared" si="37"/>
        <v>0</v>
      </c>
      <c r="L402">
        <f>IF(AND($K402=1,'All Data'!$D402&lt;&gt;"",COUNTIFS($K$2:K401,1,'All Data'!$D$2:$D401,'All Data'!$D402)=0),1,0)</f>
        <v>0</v>
      </c>
      <c r="M402" t="str">
        <f>IF($L402=1,SUM($L$2:L402),"")</f>
        <v/>
      </c>
      <c r="N402">
        <f t="shared" si="38"/>
        <v>0</v>
      </c>
      <c r="O402">
        <f>IF(AND($N402=1,'All Data'!$E402&lt;&gt;"",COUNTIFS($N$2:N401,1,'All Data'!$E$2:$E401,'All Data'!$E402)=0),1,0)</f>
        <v>0</v>
      </c>
      <c r="P402" t="str">
        <f>IF($O402=1,SUM($O$2:O402),"")</f>
        <v/>
      </c>
      <c r="Q402">
        <f t="shared" si="39"/>
        <v>0</v>
      </c>
      <c r="R402">
        <f>IF(AND($Q402=1,'All Data'!$F402&lt;&gt;"",COUNTIFS($Q$2:Q401,1,'All Data'!$F$2:$F401,'All Data'!$F402)=0),1,0)</f>
        <v>0</v>
      </c>
      <c r="S402" t="str">
        <f>IF($R402=1,SUM($R$2:R402),"")</f>
        <v/>
      </c>
      <c r="T402">
        <f t="shared" si="40"/>
        <v>0</v>
      </c>
      <c r="U402">
        <f>IF(AND($T402=1,'All Data'!$G402&lt;&gt;"",COUNTIFS($T$2:T401,1,'All Data'!$G$2:$G401,'All Data'!$G402)=0),1,0)</f>
        <v>0</v>
      </c>
      <c r="V402" t="str">
        <f>IF($U402=1,SUM($U$2:U402),"")</f>
        <v/>
      </c>
      <c r="W402">
        <f t="shared" si="41"/>
        <v>0</v>
      </c>
      <c r="X402" t="str">
        <f>IF($W402=1,SUM($W$2:W402),"")</f>
        <v/>
      </c>
    </row>
    <row r="403" spans="1:24" x14ac:dyDescent="0.3">
      <c r="A403">
        <f>IF(OR($BA1="Any",$BA1=""),1,IF('All Data'!$B403=$BA1,1,0))</f>
        <v>0</v>
      </c>
      <c r="B403">
        <f>IF(OR($BA2="Any",$BA2=""),1,IF('All Data'!$C403=$BA2,1,0))</f>
        <v>1</v>
      </c>
      <c r="C403">
        <f>IF(OR($BA3="Any",$BA3=""),1,IF('All Data'!$D403=$BA3,1,0))</f>
        <v>1</v>
      </c>
      <c r="D403">
        <f>IF(OR($BA4="Any",$BA4=""),1,IF('All Data'!$E403=$BA4,1,0))</f>
        <v>1</v>
      </c>
      <c r="E403">
        <f>IF(OR($BA5="Any",$BA5=""),1,IF('All Data'!$F403=$BA5,1,0))</f>
        <v>1</v>
      </c>
      <c r="F403">
        <f>IF(OR($BA6="Any",$BA6=""),1,IF('All Data'!$G403=$BA6,1,0))</f>
        <v>0</v>
      </c>
      <c r="G403">
        <f>IF(AND(OR($BA$8="",ISNUMBER(SEARCH($BA$8,'All Data'!$K403&amp;" "&amp;'All Data'!$M403))),OR($BA$9="",ISNUMBER(SEARCH($BA$9,'All Data'!$K403&amp;" "&amp;'All Data'!$M403))),OR($BA$10="",ISNUMBER(SEARCH($BA$10,'All Data'!$K403&amp;" "&amp;'All Data'!$M403))),OR($BA$11="",ISNUMBER(SEARCH($BA$11,'All Data'!$K403&amp;" "&amp;'All Data'!$M403))),OR($BA$12="",ISNUMBER(SEARCH($BA$12,'All Data'!$K403&amp;" "&amp;'All Data'!$M403))),OR($BA$13="",ISNUMBER(SEARCH($BA$13,'All Data'!$K403&amp;" "&amp;'All Data'!$M403))),OR($BA$14="",ISNUMBER(SEARCH($BA$14,'All Data'!$K403&amp;" "&amp;'All Data'!$M403))),OR($BA$15="",ISNUMBER(SEARCH($BA$15,'All Data'!$K403&amp;" "&amp;'All Data'!$M403)))),1,0)</f>
        <v>1</v>
      </c>
      <c r="H403">
        <f t="shared" si="36"/>
        <v>0</v>
      </c>
      <c r="I403">
        <f>IF(AND($H403=1,'All Data'!$C403&lt;&gt;"",COUNTIFS($H$2:H402,1,'All Data'!$C$2:$C402,'All Data'!$C403)=0),1,0)</f>
        <v>0</v>
      </c>
      <c r="J403" t="str">
        <f>IF($I403=1,SUM($I$2:I403),"")</f>
        <v/>
      </c>
      <c r="K403">
        <f t="shared" si="37"/>
        <v>0</v>
      </c>
      <c r="L403">
        <f>IF(AND($K403=1,'All Data'!$D403&lt;&gt;"",COUNTIFS($K$2:K402,1,'All Data'!$D$2:$D402,'All Data'!$D403)=0),1,0)</f>
        <v>0</v>
      </c>
      <c r="M403" t="str">
        <f>IF($L403=1,SUM($L$2:L403),"")</f>
        <v/>
      </c>
      <c r="N403">
        <f t="shared" si="38"/>
        <v>0</v>
      </c>
      <c r="O403">
        <f>IF(AND($N403=1,'All Data'!$E403&lt;&gt;"",COUNTIFS($N$2:N402,1,'All Data'!$E$2:$E402,'All Data'!$E403)=0),1,0)</f>
        <v>0</v>
      </c>
      <c r="P403" t="str">
        <f>IF($O403=1,SUM($O$2:O403),"")</f>
        <v/>
      </c>
      <c r="Q403">
        <f t="shared" si="39"/>
        <v>0</v>
      </c>
      <c r="R403">
        <f>IF(AND($Q403=1,'All Data'!$F403&lt;&gt;"",COUNTIFS($Q$2:Q402,1,'All Data'!$F$2:$F402,'All Data'!$F403)=0),1,0)</f>
        <v>0</v>
      </c>
      <c r="S403" t="str">
        <f>IF($R403=1,SUM($R$2:R403),"")</f>
        <v/>
      </c>
      <c r="T403">
        <f t="shared" si="40"/>
        <v>0</v>
      </c>
      <c r="U403">
        <f>IF(AND($T403=1,'All Data'!$G403&lt;&gt;"",COUNTIFS($T$2:T402,1,'All Data'!$G$2:$G402,'All Data'!$G403)=0),1,0)</f>
        <v>0</v>
      </c>
      <c r="V403" t="str">
        <f>IF($U403=1,SUM($U$2:U403),"")</f>
        <v/>
      </c>
      <c r="W403">
        <f t="shared" si="41"/>
        <v>0</v>
      </c>
      <c r="X403" t="str">
        <f>IF($W403=1,SUM($W$2:W403),"")</f>
        <v/>
      </c>
    </row>
    <row r="404" spans="1:24" x14ac:dyDescent="0.3">
      <c r="A404">
        <f>IF(OR($BA1="Any",$BA1=""),1,IF('All Data'!$B404=$BA1,1,0))</f>
        <v>0</v>
      </c>
      <c r="B404">
        <f>IF(OR($BA2="Any",$BA2=""),1,IF('All Data'!$C404=$BA2,1,0))</f>
        <v>1</v>
      </c>
      <c r="C404">
        <f>IF(OR($BA3="Any",$BA3=""),1,IF('All Data'!$D404=$BA3,1,0))</f>
        <v>1</v>
      </c>
      <c r="D404">
        <f>IF(OR($BA4="Any",$BA4=""),1,IF('All Data'!$E404=$BA4,1,0))</f>
        <v>1</v>
      </c>
      <c r="E404">
        <f>IF(OR($BA5="Any",$BA5=""),1,IF('All Data'!$F404=$BA5,1,0))</f>
        <v>1</v>
      </c>
      <c r="F404">
        <f>IF(OR($BA6="Any",$BA6=""),1,IF('All Data'!$G404=$BA6,1,0))</f>
        <v>0</v>
      </c>
      <c r="G404">
        <f>IF(AND(OR($BA$8="",ISNUMBER(SEARCH($BA$8,'All Data'!$K404&amp;" "&amp;'All Data'!$M404))),OR($BA$9="",ISNUMBER(SEARCH($BA$9,'All Data'!$K404&amp;" "&amp;'All Data'!$M404))),OR($BA$10="",ISNUMBER(SEARCH($BA$10,'All Data'!$K404&amp;" "&amp;'All Data'!$M404))),OR($BA$11="",ISNUMBER(SEARCH($BA$11,'All Data'!$K404&amp;" "&amp;'All Data'!$M404))),OR($BA$12="",ISNUMBER(SEARCH($BA$12,'All Data'!$K404&amp;" "&amp;'All Data'!$M404))),OR($BA$13="",ISNUMBER(SEARCH($BA$13,'All Data'!$K404&amp;" "&amp;'All Data'!$M404))),OR($BA$14="",ISNUMBER(SEARCH($BA$14,'All Data'!$K404&amp;" "&amp;'All Data'!$M404))),OR($BA$15="",ISNUMBER(SEARCH($BA$15,'All Data'!$K404&amp;" "&amp;'All Data'!$M404)))),1,0)</f>
        <v>1</v>
      </c>
      <c r="H404">
        <f t="shared" si="36"/>
        <v>0</v>
      </c>
      <c r="I404">
        <f>IF(AND($H404=1,'All Data'!$C404&lt;&gt;"",COUNTIFS($H$2:H403,1,'All Data'!$C$2:$C403,'All Data'!$C404)=0),1,0)</f>
        <v>0</v>
      </c>
      <c r="J404" t="str">
        <f>IF($I404=1,SUM($I$2:I404),"")</f>
        <v/>
      </c>
      <c r="K404">
        <f t="shared" si="37"/>
        <v>0</v>
      </c>
      <c r="L404">
        <f>IF(AND($K404=1,'All Data'!$D404&lt;&gt;"",COUNTIFS($K$2:K403,1,'All Data'!$D$2:$D403,'All Data'!$D404)=0),1,0)</f>
        <v>0</v>
      </c>
      <c r="M404" t="str">
        <f>IF($L404=1,SUM($L$2:L404),"")</f>
        <v/>
      </c>
      <c r="N404">
        <f t="shared" si="38"/>
        <v>0</v>
      </c>
      <c r="O404">
        <f>IF(AND($N404=1,'All Data'!$E404&lt;&gt;"",COUNTIFS($N$2:N403,1,'All Data'!$E$2:$E403,'All Data'!$E404)=0),1,0)</f>
        <v>0</v>
      </c>
      <c r="P404" t="str">
        <f>IF($O404=1,SUM($O$2:O404),"")</f>
        <v/>
      </c>
      <c r="Q404">
        <f t="shared" si="39"/>
        <v>0</v>
      </c>
      <c r="R404">
        <f>IF(AND($Q404=1,'All Data'!$F404&lt;&gt;"",COUNTIFS($Q$2:Q403,1,'All Data'!$F$2:$F403,'All Data'!$F404)=0),1,0)</f>
        <v>0</v>
      </c>
      <c r="S404" t="str">
        <f>IF($R404=1,SUM($R$2:R404),"")</f>
        <v/>
      </c>
      <c r="T404">
        <f t="shared" si="40"/>
        <v>0</v>
      </c>
      <c r="U404">
        <f>IF(AND($T404=1,'All Data'!$G404&lt;&gt;"",COUNTIFS($T$2:T403,1,'All Data'!$G$2:$G403,'All Data'!$G404)=0),1,0)</f>
        <v>0</v>
      </c>
      <c r="V404" t="str">
        <f>IF($U404=1,SUM($U$2:U404),"")</f>
        <v/>
      </c>
      <c r="W404">
        <f t="shared" si="41"/>
        <v>0</v>
      </c>
      <c r="X404" t="str">
        <f>IF($W404=1,SUM($W$2:W404),"")</f>
        <v/>
      </c>
    </row>
    <row r="405" spans="1:24" x14ac:dyDescent="0.3">
      <c r="A405">
        <f>IF(OR($BA1="Any",$BA1=""),1,IF('All Data'!$B405=$BA1,1,0))</f>
        <v>0</v>
      </c>
      <c r="B405">
        <f>IF(OR($BA2="Any",$BA2=""),1,IF('All Data'!$C405=$BA2,1,0))</f>
        <v>1</v>
      </c>
      <c r="C405">
        <f>IF(OR($BA3="Any",$BA3=""),1,IF('All Data'!$D405=$BA3,1,0))</f>
        <v>1</v>
      </c>
      <c r="D405">
        <f>IF(OR($BA4="Any",$BA4=""),1,IF('All Data'!$E405=$BA4,1,0))</f>
        <v>1</v>
      </c>
      <c r="E405">
        <f>IF(OR($BA5="Any",$BA5=""),1,IF('All Data'!$F405=$BA5,1,0))</f>
        <v>1</v>
      </c>
      <c r="F405">
        <f>IF(OR($BA6="Any",$BA6=""),1,IF('All Data'!$G405=$BA6,1,0))</f>
        <v>0</v>
      </c>
      <c r="G405">
        <f>IF(AND(OR($BA$8="",ISNUMBER(SEARCH($BA$8,'All Data'!$K405&amp;" "&amp;'All Data'!$M405))),OR($BA$9="",ISNUMBER(SEARCH($BA$9,'All Data'!$K405&amp;" "&amp;'All Data'!$M405))),OR($BA$10="",ISNUMBER(SEARCH($BA$10,'All Data'!$K405&amp;" "&amp;'All Data'!$M405))),OR($BA$11="",ISNUMBER(SEARCH($BA$11,'All Data'!$K405&amp;" "&amp;'All Data'!$M405))),OR($BA$12="",ISNUMBER(SEARCH($BA$12,'All Data'!$K405&amp;" "&amp;'All Data'!$M405))),OR($BA$13="",ISNUMBER(SEARCH($BA$13,'All Data'!$K405&amp;" "&amp;'All Data'!$M405))),OR($BA$14="",ISNUMBER(SEARCH($BA$14,'All Data'!$K405&amp;" "&amp;'All Data'!$M405))),OR($BA$15="",ISNUMBER(SEARCH($BA$15,'All Data'!$K405&amp;" "&amp;'All Data'!$M405)))),1,0)</f>
        <v>1</v>
      </c>
      <c r="H405">
        <f t="shared" si="36"/>
        <v>0</v>
      </c>
      <c r="I405">
        <f>IF(AND($H405=1,'All Data'!$C405&lt;&gt;"",COUNTIFS($H$2:H404,1,'All Data'!$C$2:$C404,'All Data'!$C405)=0),1,0)</f>
        <v>0</v>
      </c>
      <c r="J405" t="str">
        <f>IF($I405=1,SUM($I$2:I405),"")</f>
        <v/>
      </c>
      <c r="K405">
        <f t="shared" si="37"/>
        <v>0</v>
      </c>
      <c r="L405">
        <f>IF(AND($K405=1,'All Data'!$D405&lt;&gt;"",COUNTIFS($K$2:K404,1,'All Data'!$D$2:$D404,'All Data'!$D405)=0),1,0)</f>
        <v>0</v>
      </c>
      <c r="M405" t="str">
        <f>IF($L405=1,SUM($L$2:L405),"")</f>
        <v/>
      </c>
      <c r="N405">
        <f t="shared" si="38"/>
        <v>0</v>
      </c>
      <c r="O405">
        <f>IF(AND($N405=1,'All Data'!$E405&lt;&gt;"",COUNTIFS($N$2:N404,1,'All Data'!$E$2:$E404,'All Data'!$E405)=0),1,0)</f>
        <v>0</v>
      </c>
      <c r="P405" t="str">
        <f>IF($O405=1,SUM($O$2:O405),"")</f>
        <v/>
      </c>
      <c r="Q405">
        <f t="shared" si="39"/>
        <v>0</v>
      </c>
      <c r="R405">
        <f>IF(AND($Q405=1,'All Data'!$F405&lt;&gt;"",COUNTIFS($Q$2:Q404,1,'All Data'!$F$2:$F404,'All Data'!$F405)=0),1,0)</f>
        <v>0</v>
      </c>
      <c r="S405" t="str">
        <f>IF($R405=1,SUM($R$2:R405),"")</f>
        <v/>
      </c>
      <c r="T405">
        <f t="shared" si="40"/>
        <v>0</v>
      </c>
      <c r="U405">
        <f>IF(AND($T405=1,'All Data'!$G405&lt;&gt;"",COUNTIFS($T$2:T404,1,'All Data'!$G$2:$G404,'All Data'!$G405)=0),1,0)</f>
        <v>0</v>
      </c>
      <c r="V405" t="str">
        <f>IF($U405=1,SUM($U$2:U405),"")</f>
        <v/>
      </c>
      <c r="W405">
        <f t="shared" si="41"/>
        <v>0</v>
      </c>
      <c r="X405" t="str">
        <f>IF($W405=1,SUM($W$2:W405),"")</f>
        <v/>
      </c>
    </row>
    <row r="406" spans="1:24" x14ac:dyDescent="0.3">
      <c r="A406">
        <f>IF(OR($BA1="Any",$BA1=""),1,IF('All Data'!$B406=$BA1,1,0))</f>
        <v>0</v>
      </c>
      <c r="B406">
        <f>IF(OR($BA2="Any",$BA2=""),1,IF('All Data'!$C406=$BA2,1,0))</f>
        <v>1</v>
      </c>
      <c r="C406">
        <f>IF(OR($BA3="Any",$BA3=""),1,IF('All Data'!$D406=$BA3,1,0))</f>
        <v>1</v>
      </c>
      <c r="D406">
        <f>IF(OR($BA4="Any",$BA4=""),1,IF('All Data'!$E406=$BA4,1,0))</f>
        <v>1</v>
      </c>
      <c r="E406">
        <f>IF(OR($BA5="Any",$BA5=""),1,IF('All Data'!$F406=$BA5,1,0))</f>
        <v>1</v>
      </c>
      <c r="F406">
        <f>IF(OR($BA6="Any",$BA6=""),1,IF('All Data'!$G406=$BA6,1,0))</f>
        <v>0</v>
      </c>
      <c r="G406">
        <f>IF(AND(OR($BA$8="",ISNUMBER(SEARCH($BA$8,'All Data'!$K406&amp;" "&amp;'All Data'!$M406))),OR($BA$9="",ISNUMBER(SEARCH($BA$9,'All Data'!$K406&amp;" "&amp;'All Data'!$M406))),OR($BA$10="",ISNUMBER(SEARCH($BA$10,'All Data'!$K406&amp;" "&amp;'All Data'!$M406))),OR($BA$11="",ISNUMBER(SEARCH($BA$11,'All Data'!$K406&amp;" "&amp;'All Data'!$M406))),OR($BA$12="",ISNUMBER(SEARCH($BA$12,'All Data'!$K406&amp;" "&amp;'All Data'!$M406))),OR($BA$13="",ISNUMBER(SEARCH($BA$13,'All Data'!$K406&amp;" "&amp;'All Data'!$M406))),OR($BA$14="",ISNUMBER(SEARCH($BA$14,'All Data'!$K406&amp;" "&amp;'All Data'!$M406))),OR($BA$15="",ISNUMBER(SEARCH($BA$15,'All Data'!$K406&amp;" "&amp;'All Data'!$M406)))),1,0)</f>
        <v>1</v>
      </c>
      <c r="H406">
        <f t="shared" si="36"/>
        <v>0</v>
      </c>
      <c r="I406">
        <f>IF(AND($H406=1,'All Data'!$C406&lt;&gt;"",COUNTIFS($H$2:H405,1,'All Data'!$C$2:$C405,'All Data'!$C406)=0),1,0)</f>
        <v>0</v>
      </c>
      <c r="J406" t="str">
        <f>IF($I406=1,SUM($I$2:I406),"")</f>
        <v/>
      </c>
      <c r="K406">
        <f t="shared" si="37"/>
        <v>0</v>
      </c>
      <c r="L406">
        <f>IF(AND($K406=1,'All Data'!$D406&lt;&gt;"",COUNTIFS($K$2:K405,1,'All Data'!$D$2:$D405,'All Data'!$D406)=0),1,0)</f>
        <v>0</v>
      </c>
      <c r="M406" t="str">
        <f>IF($L406=1,SUM($L$2:L406),"")</f>
        <v/>
      </c>
      <c r="N406">
        <f t="shared" si="38"/>
        <v>0</v>
      </c>
      <c r="O406">
        <f>IF(AND($N406=1,'All Data'!$E406&lt;&gt;"",COUNTIFS($N$2:N405,1,'All Data'!$E$2:$E405,'All Data'!$E406)=0),1,0)</f>
        <v>0</v>
      </c>
      <c r="P406" t="str">
        <f>IF($O406=1,SUM($O$2:O406),"")</f>
        <v/>
      </c>
      <c r="Q406">
        <f t="shared" si="39"/>
        <v>0</v>
      </c>
      <c r="R406">
        <f>IF(AND($Q406=1,'All Data'!$F406&lt;&gt;"",COUNTIFS($Q$2:Q405,1,'All Data'!$F$2:$F405,'All Data'!$F406)=0),1,0)</f>
        <v>0</v>
      </c>
      <c r="S406" t="str">
        <f>IF($R406=1,SUM($R$2:R406),"")</f>
        <v/>
      </c>
      <c r="T406">
        <f t="shared" si="40"/>
        <v>0</v>
      </c>
      <c r="U406">
        <f>IF(AND($T406=1,'All Data'!$G406&lt;&gt;"",COUNTIFS($T$2:T405,1,'All Data'!$G$2:$G405,'All Data'!$G406)=0),1,0)</f>
        <v>0</v>
      </c>
      <c r="V406" t="str">
        <f>IF($U406=1,SUM($U$2:U406),"")</f>
        <v/>
      </c>
      <c r="W406">
        <f t="shared" si="41"/>
        <v>0</v>
      </c>
      <c r="X406" t="str">
        <f>IF($W406=1,SUM($W$2:W406),"")</f>
        <v/>
      </c>
    </row>
    <row r="407" spans="1:24" x14ac:dyDescent="0.3">
      <c r="A407">
        <f>IF(OR($BA1="Any",$BA1=""),1,IF('All Data'!$B407=$BA1,1,0))</f>
        <v>0</v>
      </c>
      <c r="B407">
        <f>IF(OR($BA2="Any",$BA2=""),1,IF('All Data'!$C407=$BA2,1,0))</f>
        <v>1</v>
      </c>
      <c r="C407">
        <f>IF(OR($BA3="Any",$BA3=""),1,IF('All Data'!$D407=$BA3,1,0))</f>
        <v>1</v>
      </c>
      <c r="D407">
        <f>IF(OR($BA4="Any",$BA4=""),1,IF('All Data'!$E407=$BA4,1,0))</f>
        <v>1</v>
      </c>
      <c r="E407">
        <f>IF(OR($BA5="Any",$BA5=""),1,IF('All Data'!$F407=$BA5,1,0))</f>
        <v>1</v>
      </c>
      <c r="F407">
        <f>IF(OR($BA6="Any",$BA6=""),1,IF('All Data'!$G407=$BA6,1,0))</f>
        <v>1</v>
      </c>
      <c r="G407">
        <f>IF(AND(OR($BA$8="",ISNUMBER(SEARCH($BA$8,'All Data'!$K407&amp;" "&amp;'All Data'!$M407))),OR($BA$9="",ISNUMBER(SEARCH($BA$9,'All Data'!$K407&amp;" "&amp;'All Data'!$M407))),OR($BA$10="",ISNUMBER(SEARCH($BA$10,'All Data'!$K407&amp;" "&amp;'All Data'!$M407))),OR($BA$11="",ISNUMBER(SEARCH($BA$11,'All Data'!$K407&amp;" "&amp;'All Data'!$M407))),OR($BA$12="",ISNUMBER(SEARCH($BA$12,'All Data'!$K407&amp;" "&amp;'All Data'!$M407))),OR($BA$13="",ISNUMBER(SEARCH($BA$13,'All Data'!$K407&amp;" "&amp;'All Data'!$M407))),OR($BA$14="",ISNUMBER(SEARCH($BA$14,'All Data'!$K407&amp;" "&amp;'All Data'!$M407))),OR($BA$15="",ISNUMBER(SEARCH($BA$15,'All Data'!$K407&amp;" "&amp;'All Data'!$M407)))),1,0)</f>
        <v>1</v>
      </c>
      <c r="H407">
        <f t="shared" si="36"/>
        <v>0</v>
      </c>
      <c r="I407">
        <f>IF(AND($H407=1,'All Data'!$C407&lt;&gt;"",COUNTIFS($H$2:H406,1,'All Data'!$C$2:$C406,'All Data'!$C407)=0),1,0)</f>
        <v>0</v>
      </c>
      <c r="J407" t="str">
        <f>IF($I407=1,SUM($I$2:I407),"")</f>
        <v/>
      </c>
      <c r="K407">
        <f t="shared" si="37"/>
        <v>0</v>
      </c>
      <c r="L407">
        <f>IF(AND($K407=1,'All Data'!$D407&lt;&gt;"",COUNTIFS($K$2:K406,1,'All Data'!$D$2:$D406,'All Data'!$D407)=0),1,0)</f>
        <v>0</v>
      </c>
      <c r="M407" t="str">
        <f>IF($L407=1,SUM($L$2:L407),"")</f>
        <v/>
      </c>
      <c r="N407">
        <f t="shared" si="38"/>
        <v>0</v>
      </c>
      <c r="O407">
        <f>IF(AND($N407=1,'All Data'!$E407&lt;&gt;"",COUNTIFS($N$2:N406,1,'All Data'!$E$2:$E406,'All Data'!$E407)=0),1,0)</f>
        <v>0</v>
      </c>
      <c r="P407" t="str">
        <f>IF($O407=1,SUM($O$2:O407),"")</f>
        <v/>
      </c>
      <c r="Q407">
        <f t="shared" si="39"/>
        <v>0</v>
      </c>
      <c r="R407">
        <f>IF(AND($Q407=1,'All Data'!$F407&lt;&gt;"",COUNTIFS($Q$2:Q406,1,'All Data'!$F$2:$F406,'All Data'!$F407)=0),1,0)</f>
        <v>0</v>
      </c>
      <c r="S407" t="str">
        <f>IF($R407=1,SUM($R$2:R407),"")</f>
        <v/>
      </c>
      <c r="T407">
        <f t="shared" si="40"/>
        <v>0</v>
      </c>
      <c r="U407">
        <f>IF(AND($T407=1,'All Data'!$G407&lt;&gt;"",COUNTIFS($T$2:T406,1,'All Data'!$G$2:$G406,'All Data'!$G407)=0),1,0)</f>
        <v>0</v>
      </c>
      <c r="V407" t="str">
        <f>IF($U407=1,SUM($U$2:U407),"")</f>
        <v/>
      </c>
      <c r="W407">
        <f t="shared" si="41"/>
        <v>0</v>
      </c>
      <c r="X407" t="str">
        <f>IF($W407=1,SUM($W$2:W407),"")</f>
        <v/>
      </c>
    </row>
    <row r="408" spans="1:24" x14ac:dyDescent="0.3">
      <c r="A408">
        <f>IF(OR($BA1="Any",$BA1=""),1,IF('All Data'!$B408=$BA1,1,0))</f>
        <v>0</v>
      </c>
      <c r="B408">
        <f>IF(OR($BA2="Any",$BA2=""),1,IF('All Data'!$C408=$BA2,1,0))</f>
        <v>1</v>
      </c>
      <c r="C408">
        <f>IF(OR($BA3="Any",$BA3=""),1,IF('All Data'!$D408=$BA3,1,0))</f>
        <v>1</v>
      </c>
      <c r="D408">
        <f>IF(OR($BA4="Any",$BA4=""),1,IF('All Data'!$E408=$BA4,1,0))</f>
        <v>1</v>
      </c>
      <c r="E408">
        <f>IF(OR($BA5="Any",$BA5=""),1,IF('All Data'!$F408=$BA5,1,0))</f>
        <v>1</v>
      </c>
      <c r="F408">
        <f>IF(OR($BA6="Any",$BA6=""),1,IF('All Data'!$G408=$BA6,1,0))</f>
        <v>0</v>
      </c>
      <c r="G408">
        <f>IF(AND(OR($BA$8="",ISNUMBER(SEARCH($BA$8,'All Data'!$K408&amp;" "&amp;'All Data'!$M408))),OR($BA$9="",ISNUMBER(SEARCH($BA$9,'All Data'!$K408&amp;" "&amp;'All Data'!$M408))),OR($BA$10="",ISNUMBER(SEARCH($BA$10,'All Data'!$K408&amp;" "&amp;'All Data'!$M408))),OR($BA$11="",ISNUMBER(SEARCH($BA$11,'All Data'!$K408&amp;" "&amp;'All Data'!$M408))),OR($BA$12="",ISNUMBER(SEARCH($BA$12,'All Data'!$K408&amp;" "&amp;'All Data'!$M408))),OR($BA$13="",ISNUMBER(SEARCH($BA$13,'All Data'!$K408&amp;" "&amp;'All Data'!$M408))),OR($BA$14="",ISNUMBER(SEARCH($BA$14,'All Data'!$K408&amp;" "&amp;'All Data'!$M408))),OR($BA$15="",ISNUMBER(SEARCH($BA$15,'All Data'!$K408&amp;" "&amp;'All Data'!$M408)))),1,0)</f>
        <v>1</v>
      </c>
      <c r="H408">
        <f t="shared" si="36"/>
        <v>0</v>
      </c>
      <c r="I408">
        <f>IF(AND($H408=1,'All Data'!$C408&lt;&gt;"",COUNTIFS($H$2:H407,1,'All Data'!$C$2:$C407,'All Data'!$C408)=0),1,0)</f>
        <v>0</v>
      </c>
      <c r="J408" t="str">
        <f>IF($I408=1,SUM($I$2:I408),"")</f>
        <v/>
      </c>
      <c r="K408">
        <f t="shared" si="37"/>
        <v>0</v>
      </c>
      <c r="L408">
        <f>IF(AND($K408=1,'All Data'!$D408&lt;&gt;"",COUNTIFS($K$2:K407,1,'All Data'!$D$2:$D407,'All Data'!$D408)=0),1,0)</f>
        <v>0</v>
      </c>
      <c r="M408" t="str">
        <f>IF($L408=1,SUM($L$2:L408),"")</f>
        <v/>
      </c>
      <c r="N408">
        <f t="shared" si="38"/>
        <v>0</v>
      </c>
      <c r="O408">
        <f>IF(AND($N408=1,'All Data'!$E408&lt;&gt;"",COUNTIFS($N$2:N407,1,'All Data'!$E$2:$E407,'All Data'!$E408)=0),1,0)</f>
        <v>0</v>
      </c>
      <c r="P408" t="str">
        <f>IF($O408=1,SUM($O$2:O408),"")</f>
        <v/>
      </c>
      <c r="Q408">
        <f t="shared" si="39"/>
        <v>0</v>
      </c>
      <c r="R408">
        <f>IF(AND($Q408=1,'All Data'!$F408&lt;&gt;"",COUNTIFS($Q$2:Q407,1,'All Data'!$F$2:$F407,'All Data'!$F408)=0),1,0)</f>
        <v>0</v>
      </c>
      <c r="S408" t="str">
        <f>IF($R408=1,SUM($R$2:R408),"")</f>
        <v/>
      </c>
      <c r="T408">
        <f t="shared" si="40"/>
        <v>0</v>
      </c>
      <c r="U408">
        <f>IF(AND($T408=1,'All Data'!$G408&lt;&gt;"",COUNTIFS($T$2:T407,1,'All Data'!$G$2:$G407,'All Data'!$G408)=0),1,0)</f>
        <v>0</v>
      </c>
      <c r="V408" t="str">
        <f>IF($U408=1,SUM($U$2:U408),"")</f>
        <v/>
      </c>
      <c r="W408">
        <f t="shared" si="41"/>
        <v>0</v>
      </c>
      <c r="X408" t="str">
        <f>IF($W408=1,SUM($W$2:W408),"")</f>
        <v/>
      </c>
    </row>
    <row r="409" spans="1:24" x14ac:dyDescent="0.3">
      <c r="A409">
        <f>IF(OR($BA1="Any",$BA1=""),1,IF('All Data'!$B409=$BA1,1,0))</f>
        <v>0</v>
      </c>
      <c r="B409">
        <f>IF(OR($BA2="Any",$BA2=""),1,IF('All Data'!$C409=$BA2,1,0))</f>
        <v>1</v>
      </c>
      <c r="C409">
        <f>IF(OR($BA3="Any",$BA3=""),1,IF('All Data'!$D409=$BA3,1,0))</f>
        <v>1</v>
      </c>
      <c r="D409">
        <f>IF(OR($BA4="Any",$BA4=""),1,IF('All Data'!$E409=$BA4,1,0))</f>
        <v>1</v>
      </c>
      <c r="E409">
        <f>IF(OR($BA5="Any",$BA5=""),1,IF('All Data'!$F409=$BA5,1,0))</f>
        <v>1</v>
      </c>
      <c r="F409">
        <f>IF(OR($BA6="Any",$BA6=""),1,IF('All Data'!$G409=$BA6,1,0))</f>
        <v>0</v>
      </c>
      <c r="G409">
        <f>IF(AND(OR($BA$8="",ISNUMBER(SEARCH($BA$8,'All Data'!$K409&amp;" "&amp;'All Data'!$M409))),OR($BA$9="",ISNUMBER(SEARCH($BA$9,'All Data'!$K409&amp;" "&amp;'All Data'!$M409))),OR($BA$10="",ISNUMBER(SEARCH($BA$10,'All Data'!$K409&amp;" "&amp;'All Data'!$M409))),OR($BA$11="",ISNUMBER(SEARCH($BA$11,'All Data'!$K409&amp;" "&amp;'All Data'!$M409))),OR($BA$12="",ISNUMBER(SEARCH($BA$12,'All Data'!$K409&amp;" "&amp;'All Data'!$M409))),OR($BA$13="",ISNUMBER(SEARCH($BA$13,'All Data'!$K409&amp;" "&amp;'All Data'!$M409))),OR($BA$14="",ISNUMBER(SEARCH($BA$14,'All Data'!$K409&amp;" "&amp;'All Data'!$M409))),OR($BA$15="",ISNUMBER(SEARCH($BA$15,'All Data'!$K409&amp;" "&amp;'All Data'!$M409)))),1,0)</f>
        <v>1</v>
      </c>
      <c r="H409">
        <f t="shared" si="36"/>
        <v>0</v>
      </c>
      <c r="I409">
        <f>IF(AND($H409=1,'All Data'!$C409&lt;&gt;"",COUNTIFS($H$2:H408,1,'All Data'!$C$2:$C408,'All Data'!$C409)=0),1,0)</f>
        <v>0</v>
      </c>
      <c r="J409" t="str">
        <f>IF($I409=1,SUM($I$2:I409),"")</f>
        <v/>
      </c>
      <c r="K409">
        <f t="shared" si="37"/>
        <v>0</v>
      </c>
      <c r="L409">
        <f>IF(AND($K409=1,'All Data'!$D409&lt;&gt;"",COUNTIFS($K$2:K408,1,'All Data'!$D$2:$D408,'All Data'!$D409)=0),1,0)</f>
        <v>0</v>
      </c>
      <c r="M409" t="str">
        <f>IF($L409=1,SUM($L$2:L409),"")</f>
        <v/>
      </c>
      <c r="N409">
        <f t="shared" si="38"/>
        <v>0</v>
      </c>
      <c r="O409">
        <f>IF(AND($N409=1,'All Data'!$E409&lt;&gt;"",COUNTIFS($N$2:N408,1,'All Data'!$E$2:$E408,'All Data'!$E409)=0),1,0)</f>
        <v>0</v>
      </c>
      <c r="P409" t="str">
        <f>IF($O409=1,SUM($O$2:O409),"")</f>
        <v/>
      </c>
      <c r="Q409">
        <f t="shared" si="39"/>
        <v>0</v>
      </c>
      <c r="R409">
        <f>IF(AND($Q409=1,'All Data'!$F409&lt;&gt;"",COUNTIFS($Q$2:Q408,1,'All Data'!$F$2:$F408,'All Data'!$F409)=0),1,0)</f>
        <v>0</v>
      </c>
      <c r="S409" t="str">
        <f>IF($R409=1,SUM($R$2:R409),"")</f>
        <v/>
      </c>
      <c r="T409">
        <f t="shared" si="40"/>
        <v>0</v>
      </c>
      <c r="U409">
        <f>IF(AND($T409=1,'All Data'!$G409&lt;&gt;"",COUNTIFS($T$2:T408,1,'All Data'!$G$2:$G408,'All Data'!$G409)=0),1,0)</f>
        <v>0</v>
      </c>
      <c r="V409" t="str">
        <f>IF($U409=1,SUM($U$2:U409),"")</f>
        <v/>
      </c>
      <c r="W409">
        <f t="shared" si="41"/>
        <v>0</v>
      </c>
      <c r="X409" t="str">
        <f>IF($W409=1,SUM($W$2:W409),"")</f>
        <v/>
      </c>
    </row>
    <row r="410" spans="1:24" x14ac:dyDescent="0.3">
      <c r="A410">
        <f>IF(OR($BA1="Any",$BA1=""),1,IF('All Data'!$B410=$BA1,1,0))</f>
        <v>0</v>
      </c>
      <c r="B410">
        <f>IF(OR($BA2="Any",$BA2=""),1,IF('All Data'!$C410=$BA2,1,0))</f>
        <v>1</v>
      </c>
      <c r="C410">
        <f>IF(OR($BA3="Any",$BA3=""),1,IF('All Data'!$D410=$BA3,1,0))</f>
        <v>1</v>
      </c>
      <c r="D410">
        <f>IF(OR($BA4="Any",$BA4=""),1,IF('All Data'!$E410=$BA4,1,0))</f>
        <v>1</v>
      </c>
      <c r="E410">
        <f>IF(OR($BA5="Any",$BA5=""),1,IF('All Data'!$F410=$BA5,1,0))</f>
        <v>1</v>
      </c>
      <c r="F410">
        <f>IF(OR($BA6="Any",$BA6=""),1,IF('All Data'!$G410=$BA6,1,0))</f>
        <v>0</v>
      </c>
      <c r="G410">
        <f>IF(AND(OR($BA$8="",ISNUMBER(SEARCH($BA$8,'All Data'!$K410&amp;" "&amp;'All Data'!$M410))),OR($BA$9="",ISNUMBER(SEARCH($BA$9,'All Data'!$K410&amp;" "&amp;'All Data'!$M410))),OR($BA$10="",ISNUMBER(SEARCH($BA$10,'All Data'!$K410&amp;" "&amp;'All Data'!$M410))),OR($BA$11="",ISNUMBER(SEARCH($BA$11,'All Data'!$K410&amp;" "&amp;'All Data'!$M410))),OR($BA$12="",ISNUMBER(SEARCH($BA$12,'All Data'!$K410&amp;" "&amp;'All Data'!$M410))),OR($BA$13="",ISNUMBER(SEARCH($BA$13,'All Data'!$K410&amp;" "&amp;'All Data'!$M410))),OR($BA$14="",ISNUMBER(SEARCH($BA$14,'All Data'!$K410&amp;" "&amp;'All Data'!$M410))),OR($BA$15="",ISNUMBER(SEARCH($BA$15,'All Data'!$K410&amp;" "&amp;'All Data'!$M410)))),1,0)</f>
        <v>1</v>
      </c>
      <c r="H410">
        <f t="shared" si="36"/>
        <v>0</v>
      </c>
      <c r="I410">
        <f>IF(AND($H410=1,'All Data'!$C410&lt;&gt;"",COUNTIFS($H$2:H409,1,'All Data'!$C$2:$C409,'All Data'!$C410)=0),1,0)</f>
        <v>0</v>
      </c>
      <c r="J410" t="str">
        <f>IF($I410=1,SUM($I$2:I410),"")</f>
        <v/>
      </c>
      <c r="K410">
        <f t="shared" si="37"/>
        <v>0</v>
      </c>
      <c r="L410">
        <f>IF(AND($K410=1,'All Data'!$D410&lt;&gt;"",COUNTIFS($K$2:K409,1,'All Data'!$D$2:$D409,'All Data'!$D410)=0),1,0)</f>
        <v>0</v>
      </c>
      <c r="M410" t="str">
        <f>IF($L410=1,SUM($L$2:L410),"")</f>
        <v/>
      </c>
      <c r="N410">
        <f t="shared" si="38"/>
        <v>0</v>
      </c>
      <c r="O410">
        <f>IF(AND($N410=1,'All Data'!$E410&lt;&gt;"",COUNTIFS($N$2:N409,1,'All Data'!$E$2:$E409,'All Data'!$E410)=0),1,0)</f>
        <v>0</v>
      </c>
      <c r="P410" t="str">
        <f>IF($O410=1,SUM($O$2:O410),"")</f>
        <v/>
      </c>
      <c r="Q410">
        <f t="shared" si="39"/>
        <v>0</v>
      </c>
      <c r="R410">
        <f>IF(AND($Q410=1,'All Data'!$F410&lt;&gt;"",COUNTIFS($Q$2:Q409,1,'All Data'!$F$2:$F409,'All Data'!$F410)=0),1,0)</f>
        <v>0</v>
      </c>
      <c r="S410" t="str">
        <f>IF($R410=1,SUM($R$2:R410),"")</f>
        <v/>
      </c>
      <c r="T410">
        <f t="shared" si="40"/>
        <v>0</v>
      </c>
      <c r="U410">
        <f>IF(AND($T410=1,'All Data'!$G410&lt;&gt;"",COUNTIFS($T$2:T409,1,'All Data'!$G$2:$G409,'All Data'!$G410)=0),1,0)</f>
        <v>0</v>
      </c>
      <c r="V410" t="str">
        <f>IF($U410=1,SUM($U$2:U410),"")</f>
        <v/>
      </c>
      <c r="W410">
        <f t="shared" si="41"/>
        <v>0</v>
      </c>
      <c r="X410" t="str">
        <f>IF($W410=1,SUM($W$2:W410),"")</f>
        <v/>
      </c>
    </row>
    <row r="411" spans="1:24" x14ac:dyDescent="0.3">
      <c r="A411">
        <f>IF(OR($BA1="Any",$BA1=""),1,IF('All Data'!$B411=$BA1,1,0))</f>
        <v>0</v>
      </c>
      <c r="B411">
        <f>IF(OR($BA2="Any",$BA2=""),1,IF('All Data'!$C411=$BA2,1,0))</f>
        <v>1</v>
      </c>
      <c r="C411">
        <f>IF(OR($BA3="Any",$BA3=""),1,IF('All Data'!$D411=$BA3,1,0))</f>
        <v>1</v>
      </c>
      <c r="D411">
        <f>IF(OR($BA4="Any",$BA4=""),1,IF('All Data'!$E411=$BA4,1,0))</f>
        <v>1</v>
      </c>
      <c r="E411">
        <f>IF(OR($BA5="Any",$BA5=""),1,IF('All Data'!$F411=$BA5,1,0))</f>
        <v>1</v>
      </c>
      <c r="F411">
        <f>IF(OR($BA6="Any",$BA6=""),1,IF('All Data'!$G411=$BA6,1,0))</f>
        <v>0</v>
      </c>
      <c r="G411">
        <f>IF(AND(OR($BA$8="",ISNUMBER(SEARCH($BA$8,'All Data'!$K411&amp;" "&amp;'All Data'!$M411))),OR($BA$9="",ISNUMBER(SEARCH($BA$9,'All Data'!$K411&amp;" "&amp;'All Data'!$M411))),OR($BA$10="",ISNUMBER(SEARCH($BA$10,'All Data'!$K411&amp;" "&amp;'All Data'!$M411))),OR($BA$11="",ISNUMBER(SEARCH($BA$11,'All Data'!$K411&amp;" "&amp;'All Data'!$M411))),OR($BA$12="",ISNUMBER(SEARCH($BA$12,'All Data'!$K411&amp;" "&amp;'All Data'!$M411))),OR($BA$13="",ISNUMBER(SEARCH($BA$13,'All Data'!$K411&amp;" "&amp;'All Data'!$M411))),OR($BA$14="",ISNUMBER(SEARCH($BA$14,'All Data'!$K411&amp;" "&amp;'All Data'!$M411))),OR($BA$15="",ISNUMBER(SEARCH($BA$15,'All Data'!$K411&amp;" "&amp;'All Data'!$M411)))),1,0)</f>
        <v>1</v>
      </c>
      <c r="H411">
        <f t="shared" si="36"/>
        <v>0</v>
      </c>
      <c r="I411">
        <f>IF(AND($H411=1,'All Data'!$C411&lt;&gt;"",COUNTIFS($H$2:H410,1,'All Data'!$C$2:$C410,'All Data'!$C411)=0),1,0)</f>
        <v>0</v>
      </c>
      <c r="J411" t="str">
        <f>IF($I411=1,SUM($I$2:I411),"")</f>
        <v/>
      </c>
      <c r="K411">
        <f t="shared" si="37"/>
        <v>0</v>
      </c>
      <c r="L411">
        <f>IF(AND($K411=1,'All Data'!$D411&lt;&gt;"",COUNTIFS($K$2:K410,1,'All Data'!$D$2:$D410,'All Data'!$D411)=0),1,0)</f>
        <v>0</v>
      </c>
      <c r="M411" t="str">
        <f>IF($L411=1,SUM($L$2:L411),"")</f>
        <v/>
      </c>
      <c r="N411">
        <f t="shared" si="38"/>
        <v>0</v>
      </c>
      <c r="O411">
        <f>IF(AND($N411=1,'All Data'!$E411&lt;&gt;"",COUNTIFS($N$2:N410,1,'All Data'!$E$2:$E410,'All Data'!$E411)=0),1,0)</f>
        <v>0</v>
      </c>
      <c r="P411" t="str">
        <f>IF($O411=1,SUM($O$2:O411),"")</f>
        <v/>
      </c>
      <c r="Q411">
        <f t="shared" si="39"/>
        <v>0</v>
      </c>
      <c r="R411">
        <f>IF(AND($Q411=1,'All Data'!$F411&lt;&gt;"",COUNTIFS($Q$2:Q410,1,'All Data'!$F$2:$F410,'All Data'!$F411)=0),1,0)</f>
        <v>0</v>
      </c>
      <c r="S411" t="str">
        <f>IF($R411=1,SUM($R$2:R411),"")</f>
        <v/>
      </c>
      <c r="T411">
        <f t="shared" si="40"/>
        <v>0</v>
      </c>
      <c r="U411">
        <f>IF(AND($T411=1,'All Data'!$G411&lt;&gt;"",COUNTIFS($T$2:T410,1,'All Data'!$G$2:$G410,'All Data'!$G411)=0),1,0)</f>
        <v>0</v>
      </c>
      <c r="V411" t="str">
        <f>IF($U411=1,SUM($U$2:U411),"")</f>
        <v/>
      </c>
      <c r="W411">
        <f t="shared" si="41"/>
        <v>0</v>
      </c>
      <c r="X411" t="str">
        <f>IF($W411=1,SUM($W$2:W411),"")</f>
        <v/>
      </c>
    </row>
    <row r="412" spans="1:24" x14ac:dyDescent="0.3">
      <c r="A412">
        <f>IF(OR($BA1="Any",$BA1=""),1,IF('All Data'!$B412=$BA1,1,0))</f>
        <v>0</v>
      </c>
      <c r="B412">
        <f>IF(OR($BA2="Any",$BA2=""),1,IF('All Data'!$C412=$BA2,1,0))</f>
        <v>1</v>
      </c>
      <c r="C412">
        <f>IF(OR($BA3="Any",$BA3=""),1,IF('All Data'!$D412=$BA3,1,0))</f>
        <v>1</v>
      </c>
      <c r="D412">
        <f>IF(OR($BA4="Any",$BA4=""),1,IF('All Data'!$E412=$BA4,1,0))</f>
        <v>1</v>
      </c>
      <c r="E412">
        <f>IF(OR($BA5="Any",$BA5=""),1,IF('All Data'!$F412=$BA5,1,0))</f>
        <v>1</v>
      </c>
      <c r="F412">
        <f>IF(OR($BA6="Any",$BA6=""),1,IF('All Data'!$G412=$BA6,1,0))</f>
        <v>0</v>
      </c>
      <c r="G412">
        <f>IF(AND(OR($BA$8="",ISNUMBER(SEARCH($BA$8,'All Data'!$K412&amp;" "&amp;'All Data'!$M412))),OR($BA$9="",ISNUMBER(SEARCH($BA$9,'All Data'!$K412&amp;" "&amp;'All Data'!$M412))),OR($BA$10="",ISNUMBER(SEARCH($BA$10,'All Data'!$K412&amp;" "&amp;'All Data'!$M412))),OR($BA$11="",ISNUMBER(SEARCH($BA$11,'All Data'!$K412&amp;" "&amp;'All Data'!$M412))),OR($BA$12="",ISNUMBER(SEARCH($BA$12,'All Data'!$K412&amp;" "&amp;'All Data'!$M412))),OR($BA$13="",ISNUMBER(SEARCH($BA$13,'All Data'!$K412&amp;" "&amp;'All Data'!$M412))),OR($BA$14="",ISNUMBER(SEARCH($BA$14,'All Data'!$K412&amp;" "&amp;'All Data'!$M412))),OR($BA$15="",ISNUMBER(SEARCH($BA$15,'All Data'!$K412&amp;" "&amp;'All Data'!$M412)))),1,0)</f>
        <v>1</v>
      </c>
      <c r="H412">
        <f t="shared" si="36"/>
        <v>0</v>
      </c>
      <c r="I412">
        <f>IF(AND($H412=1,'All Data'!$C412&lt;&gt;"",COUNTIFS($H$2:H411,1,'All Data'!$C$2:$C411,'All Data'!$C412)=0),1,0)</f>
        <v>0</v>
      </c>
      <c r="J412" t="str">
        <f>IF($I412=1,SUM($I$2:I412),"")</f>
        <v/>
      </c>
      <c r="K412">
        <f t="shared" si="37"/>
        <v>0</v>
      </c>
      <c r="L412">
        <f>IF(AND($K412=1,'All Data'!$D412&lt;&gt;"",COUNTIFS($K$2:K411,1,'All Data'!$D$2:$D411,'All Data'!$D412)=0),1,0)</f>
        <v>0</v>
      </c>
      <c r="M412" t="str">
        <f>IF($L412=1,SUM($L$2:L412),"")</f>
        <v/>
      </c>
      <c r="N412">
        <f t="shared" si="38"/>
        <v>0</v>
      </c>
      <c r="O412">
        <f>IF(AND($N412=1,'All Data'!$E412&lt;&gt;"",COUNTIFS($N$2:N411,1,'All Data'!$E$2:$E411,'All Data'!$E412)=0),1,0)</f>
        <v>0</v>
      </c>
      <c r="P412" t="str">
        <f>IF($O412=1,SUM($O$2:O412),"")</f>
        <v/>
      </c>
      <c r="Q412">
        <f t="shared" si="39"/>
        <v>0</v>
      </c>
      <c r="R412">
        <f>IF(AND($Q412=1,'All Data'!$F412&lt;&gt;"",COUNTIFS($Q$2:Q411,1,'All Data'!$F$2:$F411,'All Data'!$F412)=0),1,0)</f>
        <v>0</v>
      </c>
      <c r="S412" t="str">
        <f>IF($R412=1,SUM($R$2:R412),"")</f>
        <v/>
      </c>
      <c r="T412">
        <f t="shared" si="40"/>
        <v>0</v>
      </c>
      <c r="U412">
        <f>IF(AND($T412=1,'All Data'!$G412&lt;&gt;"",COUNTIFS($T$2:T411,1,'All Data'!$G$2:$G411,'All Data'!$G412)=0),1,0)</f>
        <v>0</v>
      </c>
      <c r="V412" t="str">
        <f>IF($U412=1,SUM($U$2:U412),"")</f>
        <v/>
      </c>
      <c r="W412">
        <f t="shared" si="41"/>
        <v>0</v>
      </c>
      <c r="X412" t="str">
        <f>IF($W412=1,SUM($W$2:W412),"")</f>
        <v/>
      </c>
    </row>
    <row r="413" spans="1:24" x14ac:dyDescent="0.3">
      <c r="A413">
        <f>IF(OR($BA1="Any",$BA1=""),1,IF('All Data'!$B413=$BA1,1,0))</f>
        <v>0</v>
      </c>
      <c r="B413">
        <f>IF(OR($BA2="Any",$BA2=""),1,IF('All Data'!$C413=$BA2,1,0))</f>
        <v>1</v>
      </c>
      <c r="C413">
        <f>IF(OR($BA3="Any",$BA3=""),1,IF('All Data'!$D413=$BA3,1,0))</f>
        <v>1</v>
      </c>
      <c r="D413">
        <f>IF(OR($BA4="Any",$BA4=""),1,IF('All Data'!$E413=$BA4,1,0))</f>
        <v>1</v>
      </c>
      <c r="E413">
        <f>IF(OR($BA5="Any",$BA5=""),1,IF('All Data'!$F413=$BA5,1,0))</f>
        <v>1</v>
      </c>
      <c r="F413">
        <f>IF(OR($BA6="Any",$BA6=""),1,IF('All Data'!$G413=$BA6,1,0))</f>
        <v>0</v>
      </c>
      <c r="G413">
        <f>IF(AND(OR($BA$8="",ISNUMBER(SEARCH($BA$8,'All Data'!$K413&amp;" "&amp;'All Data'!$M413))),OR($BA$9="",ISNUMBER(SEARCH($BA$9,'All Data'!$K413&amp;" "&amp;'All Data'!$M413))),OR($BA$10="",ISNUMBER(SEARCH($BA$10,'All Data'!$K413&amp;" "&amp;'All Data'!$M413))),OR($BA$11="",ISNUMBER(SEARCH($BA$11,'All Data'!$K413&amp;" "&amp;'All Data'!$M413))),OR($BA$12="",ISNUMBER(SEARCH($BA$12,'All Data'!$K413&amp;" "&amp;'All Data'!$M413))),OR($BA$13="",ISNUMBER(SEARCH($BA$13,'All Data'!$K413&amp;" "&amp;'All Data'!$M413))),OR($BA$14="",ISNUMBER(SEARCH($BA$14,'All Data'!$K413&amp;" "&amp;'All Data'!$M413))),OR($BA$15="",ISNUMBER(SEARCH($BA$15,'All Data'!$K413&amp;" "&amp;'All Data'!$M413)))),1,0)</f>
        <v>1</v>
      </c>
      <c r="H413">
        <f t="shared" si="36"/>
        <v>0</v>
      </c>
      <c r="I413">
        <f>IF(AND($H413=1,'All Data'!$C413&lt;&gt;"",COUNTIFS($H$2:H412,1,'All Data'!$C$2:$C412,'All Data'!$C413)=0),1,0)</f>
        <v>0</v>
      </c>
      <c r="J413" t="str">
        <f>IF($I413=1,SUM($I$2:I413),"")</f>
        <v/>
      </c>
      <c r="K413">
        <f t="shared" si="37"/>
        <v>0</v>
      </c>
      <c r="L413">
        <f>IF(AND($K413=1,'All Data'!$D413&lt;&gt;"",COUNTIFS($K$2:K412,1,'All Data'!$D$2:$D412,'All Data'!$D413)=0),1,0)</f>
        <v>0</v>
      </c>
      <c r="M413" t="str">
        <f>IF($L413=1,SUM($L$2:L413),"")</f>
        <v/>
      </c>
      <c r="N413">
        <f t="shared" si="38"/>
        <v>0</v>
      </c>
      <c r="O413">
        <f>IF(AND($N413=1,'All Data'!$E413&lt;&gt;"",COUNTIFS($N$2:N412,1,'All Data'!$E$2:$E412,'All Data'!$E413)=0),1,0)</f>
        <v>0</v>
      </c>
      <c r="P413" t="str">
        <f>IF($O413=1,SUM($O$2:O413),"")</f>
        <v/>
      </c>
      <c r="Q413">
        <f t="shared" si="39"/>
        <v>0</v>
      </c>
      <c r="R413">
        <f>IF(AND($Q413=1,'All Data'!$F413&lt;&gt;"",COUNTIFS($Q$2:Q412,1,'All Data'!$F$2:$F412,'All Data'!$F413)=0),1,0)</f>
        <v>0</v>
      </c>
      <c r="S413" t="str">
        <f>IF($R413=1,SUM($R$2:R413),"")</f>
        <v/>
      </c>
      <c r="T413">
        <f t="shared" si="40"/>
        <v>0</v>
      </c>
      <c r="U413">
        <f>IF(AND($T413=1,'All Data'!$G413&lt;&gt;"",COUNTIFS($T$2:T412,1,'All Data'!$G$2:$G412,'All Data'!$G413)=0),1,0)</f>
        <v>0</v>
      </c>
      <c r="V413" t="str">
        <f>IF($U413=1,SUM($U$2:U413),"")</f>
        <v/>
      </c>
      <c r="W413">
        <f t="shared" si="41"/>
        <v>0</v>
      </c>
      <c r="X413" t="str">
        <f>IF($W413=1,SUM($W$2:W413),"")</f>
        <v/>
      </c>
    </row>
    <row r="414" spans="1:24" x14ac:dyDescent="0.3">
      <c r="A414">
        <f>IF(OR($BA1="Any",$BA1=""),1,IF('All Data'!$B414=$BA1,1,0))</f>
        <v>0</v>
      </c>
      <c r="B414">
        <f>IF(OR($BA2="Any",$BA2=""),1,IF('All Data'!$C414=$BA2,1,0))</f>
        <v>1</v>
      </c>
      <c r="C414">
        <f>IF(OR($BA3="Any",$BA3=""),1,IF('All Data'!$D414=$BA3,1,0))</f>
        <v>1</v>
      </c>
      <c r="D414">
        <f>IF(OR($BA4="Any",$BA4=""),1,IF('All Data'!$E414=$BA4,1,0))</f>
        <v>1</v>
      </c>
      <c r="E414">
        <f>IF(OR($BA5="Any",$BA5=""),1,IF('All Data'!$F414=$BA5,1,0))</f>
        <v>1</v>
      </c>
      <c r="F414">
        <f>IF(OR($BA6="Any",$BA6=""),1,IF('All Data'!$G414=$BA6,1,0))</f>
        <v>1</v>
      </c>
      <c r="G414">
        <f>IF(AND(OR($BA$8="",ISNUMBER(SEARCH($BA$8,'All Data'!$K414&amp;" "&amp;'All Data'!$M414))),OR($BA$9="",ISNUMBER(SEARCH($BA$9,'All Data'!$K414&amp;" "&amp;'All Data'!$M414))),OR($BA$10="",ISNUMBER(SEARCH($BA$10,'All Data'!$K414&amp;" "&amp;'All Data'!$M414))),OR($BA$11="",ISNUMBER(SEARCH($BA$11,'All Data'!$K414&amp;" "&amp;'All Data'!$M414))),OR($BA$12="",ISNUMBER(SEARCH($BA$12,'All Data'!$K414&amp;" "&amp;'All Data'!$M414))),OR($BA$13="",ISNUMBER(SEARCH($BA$13,'All Data'!$K414&amp;" "&amp;'All Data'!$M414))),OR($BA$14="",ISNUMBER(SEARCH($BA$14,'All Data'!$K414&amp;" "&amp;'All Data'!$M414))),OR($BA$15="",ISNUMBER(SEARCH($BA$15,'All Data'!$K414&amp;" "&amp;'All Data'!$M414)))),1,0)</f>
        <v>1</v>
      </c>
      <c r="H414">
        <f t="shared" si="36"/>
        <v>0</v>
      </c>
      <c r="I414">
        <f>IF(AND($H414=1,'All Data'!$C414&lt;&gt;"",COUNTIFS($H$2:H413,1,'All Data'!$C$2:$C413,'All Data'!$C414)=0),1,0)</f>
        <v>0</v>
      </c>
      <c r="J414" t="str">
        <f>IF($I414=1,SUM($I$2:I414),"")</f>
        <v/>
      </c>
      <c r="K414">
        <f t="shared" si="37"/>
        <v>0</v>
      </c>
      <c r="L414">
        <f>IF(AND($K414=1,'All Data'!$D414&lt;&gt;"",COUNTIFS($K$2:K413,1,'All Data'!$D$2:$D413,'All Data'!$D414)=0),1,0)</f>
        <v>0</v>
      </c>
      <c r="M414" t="str">
        <f>IF($L414=1,SUM($L$2:L414),"")</f>
        <v/>
      </c>
      <c r="N414">
        <f t="shared" si="38"/>
        <v>0</v>
      </c>
      <c r="O414">
        <f>IF(AND($N414=1,'All Data'!$E414&lt;&gt;"",COUNTIFS($N$2:N413,1,'All Data'!$E$2:$E413,'All Data'!$E414)=0),1,0)</f>
        <v>0</v>
      </c>
      <c r="P414" t="str">
        <f>IF($O414=1,SUM($O$2:O414),"")</f>
        <v/>
      </c>
      <c r="Q414">
        <f t="shared" si="39"/>
        <v>0</v>
      </c>
      <c r="R414">
        <f>IF(AND($Q414=1,'All Data'!$F414&lt;&gt;"",COUNTIFS($Q$2:Q413,1,'All Data'!$F$2:$F413,'All Data'!$F414)=0),1,0)</f>
        <v>0</v>
      </c>
      <c r="S414" t="str">
        <f>IF($R414=1,SUM($R$2:R414),"")</f>
        <v/>
      </c>
      <c r="T414">
        <f t="shared" si="40"/>
        <v>0</v>
      </c>
      <c r="U414">
        <f>IF(AND($T414=1,'All Data'!$G414&lt;&gt;"",COUNTIFS($T$2:T413,1,'All Data'!$G$2:$G413,'All Data'!$G414)=0),1,0)</f>
        <v>0</v>
      </c>
      <c r="V414" t="str">
        <f>IF($U414=1,SUM($U$2:U414),"")</f>
        <v/>
      </c>
      <c r="W414">
        <f t="shared" si="41"/>
        <v>0</v>
      </c>
      <c r="X414" t="str">
        <f>IF($W414=1,SUM($W$2:W414),"")</f>
        <v/>
      </c>
    </row>
    <row r="415" spans="1:24" x14ac:dyDescent="0.3">
      <c r="A415">
        <f>IF(OR($BA1="Any",$BA1=""),1,IF('All Data'!$B415=$BA1,1,0))</f>
        <v>0</v>
      </c>
      <c r="B415">
        <f>IF(OR($BA2="Any",$BA2=""),1,IF('All Data'!$C415=$BA2,1,0))</f>
        <v>1</v>
      </c>
      <c r="C415">
        <f>IF(OR($BA3="Any",$BA3=""),1,IF('All Data'!$D415=$BA3,1,0))</f>
        <v>1</v>
      </c>
      <c r="D415">
        <f>IF(OR($BA4="Any",$BA4=""),1,IF('All Data'!$E415=$BA4,1,0))</f>
        <v>1</v>
      </c>
      <c r="E415">
        <f>IF(OR($BA5="Any",$BA5=""),1,IF('All Data'!$F415=$BA5,1,0))</f>
        <v>1</v>
      </c>
      <c r="F415">
        <f>IF(OR($BA6="Any",$BA6=""),1,IF('All Data'!$G415=$BA6,1,0))</f>
        <v>0</v>
      </c>
      <c r="G415">
        <f>IF(AND(OR($BA$8="",ISNUMBER(SEARCH($BA$8,'All Data'!$K415&amp;" "&amp;'All Data'!$M415))),OR($BA$9="",ISNUMBER(SEARCH($BA$9,'All Data'!$K415&amp;" "&amp;'All Data'!$M415))),OR($BA$10="",ISNUMBER(SEARCH($BA$10,'All Data'!$K415&amp;" "&amp;'All Data'!$M415))),OR($BA$11="",ISNUMBER(SEARCH($BA$11,'All Data'!$K415&amp;" "&amp;'All Data'!$M415))),OR($BA$12="",ISNUMBER(SEARCH($BA$12,'All Data'!$K415&amp;" "&amp;'All Data'!$M415))),OR($BA$13="",ISNUMBER(SEARCH($BA$13,'All Data'!$K415&amp;" "&amp;'All Data'!$M415))),OR($BA$14="",ISNUMBER(SEARCH($BA$14,'All Data'!$K415&amp;" "&amp;'All Data'!$M415))),OR($BA$15="",ISNUMBER(SEARCH($BA$15,'All Data'!$K415&amp;" "&amp;'All Data'!$M415)))),1,0)</f>
        <v>1</v>
      </c>
      <c r="H415">
        <f t="shared" si="36"/>
        <v>0</v>
      </c>
      <c r="I415">
        <f>IF(AND($H415=1,'All Data'!$C415&lt;&gt;"",COUNTIFS($H$2:H414,1,'All Data'!$C$2:$C414,'All Data'!$C415)=0),1,0)</f>
        <v>0</v>
      </c>
      <c r="J415" t="str">
        <f>IF($I415=1,SUM($I$2:I415),"")</f>
        <v/>
      </c>
      <c r="K415">
        <f t="shared" si="37"/>
        <v>0</v>
      </c>
      <c r="L415">
        <f>IF(AND($K415=1,'All Data'!$D415&lt;&gt;"",COUNTIFS($K$2:K414,1,'All Data'!$D$2:$D414,'All Data'!$D415)=0),1,0)</f>
        <v>0</v>
      </c>
      <c r="M415" t="str">
        <f>IF($L415=1,SUM($L$2:L415),"")</f>
        <v/>
      </c>
      <c r="N415">
        <f t="shared" si="38"/>
        <v>0</v>
      </c>
      <c r="O415">
        <f>IF(AND($N415=1,'All Data'!$E415&lt;&gt;"",COUNTIFS($N$2:N414,1,'All Data'!$E$2:$E414,'All Data'!$E415)=0),1,0)</f>
        <v>0</v>
      </c>
      <c r="P415" t="str">
        <f>IF($O415=1,SUM($O$2:O415),"")</f>
        <v/>
      </c>
      <c r="Q415">
        <f t="shared" si="39"/>
        <v>0</v>
      </c>
      <c r="R415">
        <f>IF(AND($Q415=1,'All Data'!$F415&lt;&gt;"",COUNTIFS($Q$2:Q414,1,'All Data'!$F$2:$F414,'All Data'!$F415)=0),1,0)</f>
        <v>0</v>
      </c>
      <c r="S415" t="str">
        <f>IF($R415=1,SUM($R$2:R415),"")</f>
        <v/>
      </c>
      <c r="T415">
        <f t="shared" si="40"/>
        <v>0</v>
      </c>
      <c r="U415">
        <f>IF(AND($T415=1,'All Data'!$G415&lt;&gt;"",COUNTIFS($T$2:T414,1,'All Data'!$G$2:$G414,'All Data'!$G415)=0),1,0)</f>
        <v>0</v>
      </c>
      <c r="V415" t="str">
        <f>IF($U415=1,SUM($U$2:U415),"")</f>
        <v/>
      </c>
      <c r="W415">
        <f t="shared" si="41"/>
        <v>0</v>
      </c>
      <c r="X415" t="str">
        <f>IF($W415=1,SUM($W$2:W415),"")</f>
        <v/>
      </c>
    </row>
    <row r="416" spans="1:24" x14ac:dyDescent="0.3">
      <c r="A416">
        <f>IF(OR($BA1="Any",$BA1=""),1,IF('All Data'!$B416=$BA1,1,0))</f>
        <v>0</v>
      </c>
      <c r="B416">
        <f>IF(OR($BA2="Any",$BA2=""),1,IF('All Data'!$C416=$BA2,1,0))</f>
        <v>1</v>
      </c>
      <c r="C416">
        <f>IF(OR($BA3="Any",$BA3=""),1,IF('All Data'!$D416=$BA3,1,0))</f>
        <v>1</v>
      </c>
      <c r="D416">
        <f>IF(OR($BA4="Any",$BA4=""),1,IF('All Data'!$E416=$BA4,1,0))</f>
        <v>1</v>
      </c>
      <c r="E416">
        <f>IF(OR($BA5="Any",$BA5=""),1,IF('All Data'!$F416=$BA5,1,0))</f>
        <v>1</v>
      </c>
      <c r="F416">
        <f>IF(OR($BA6="Any",$BA6=""),1,IF('All Data'!$G416=$BA6,1,0))</f>
        <v>0</v>
      </c>
      <c r="G416">
        <f>IF(AND(OR($BA$8="",ISNUMBER(SEARCH($BA$8,'All Data'!$K416&amp;" "&amp;'All Data'!$M416))),OR($BA$9="",ISNUMBER(SEARCH($BA$9,'All Data'!$K416&amp;" "&amp;'All Data'!$M416))),OR($BA$10="",ISNUMBER(SEARCH($BA$10,'All Data'!$K416&amp;" "&amp;'All Data'!$M416))),OR($BA$11="",ISNUMBER(SEARCH($BA$11,'All Data'!$K416&amp;" "&amp;'All Data'!$M416))),OR($BA$12="",ISNUMBER(SEARCH($BA$12,'All Data'!$K416&amp;" "&amp;'All Data'!$M416))),OR($BA$13="",ISNUMBER(SEARCH($BA$13,'All Data'!$K416&amp;" "&amp;'All Data'!$M416))),OR($BA$14="",ISNUMBER(SEARCH($BA$14,'All Data'!$K416&amp;" "&amp;'All Data'!$M416))),OR($BA$15="",ISNUMBER(SEARCH($BA$15,'All Data'!$K416&amp;" "&amp;'All Data'!$M416)))),1,0)</f>
        <v>1</v>
      </c>
      <c r="H416">
        <f t="shared" si="36"/>
        <v>0</v>
      </c>
      <c r="I416">
        <f>IF(AND($H416=1,'All Data'!$C416&lt;&gt;"",COUNTIFS($H$2:H415,1,'All Data'!$C$2:$C415,'All Data'!$C416)=0),1,0)</f>
        <v>0</v>
      </c>
      <c r="J416" t="str">
        <f>IF($I416=1,SUM($I$2:I416),"")</f>
        <v/>
      </c>
      <c r="K416">
        <f t="shared" si="37"/>
        <v>0</v>
      </c>
      <c r="L416">
        <f>IF(AND($K416=1,'All Data'!$D416&lt;&gt;"",COUNTIFS($K$2:K415,1,'All Data'!$D$2:$D415,'All Data'!$D416)=0),1,0)</f>
        <v>0</v>
      </c>
      <c r="M416" t="str">
        <f>IF($L416=1,SUM($L$2:L416),"")</f>
        <v/>
      </c>
      <c r="N416">
        <f t="shared" si="38"/>
        <v>0</v>
      </c>
      <c r="O416">
        <f>IF(AND($N416=1,'All Data'!$E416&lt;&gt;"",COUNTIFS($N$2:N415,1,'All Data'!$E$2:$E415,'All Data'!$E416)=0),1,0)</f>
        <v>0</v>
      </c>
      <c r="P416" t="str">
        <f>IF($O416=1,SUM($O$2:O416),"")</f>
        <v/>
      </c>
      <c r="Q416">
        <f t="shared" si="39"/>
        <v>0</v>
      </c>
      <c r="R416">
        <f>IF(AND($Q416=1,'All Data'!$F416&lt;&gt;"",COUNTIFS($Q$2:Q415,1,'All Data'!$F$2:$F415,'All Data'!$F416)=0),1,0)</f>
        <v>0</v>
      </c>
      <c r="S416" t="str">
        <f>IF($R416=1,SUM($R$2:R416),"")</f>
        <v/>
      </c>
      <c r="T416">
        <f t="shared" si="40"/>
        <v>0</v>
      </c>
      <c r="U416">
        <f>IF(AND($T416=1,'All Data'!$G416&lt;&gt;"",COUNTIFS($T$2:T415,1,'All Data'!$G$2:$G415,'All Data'!$G416)=0),1,0)</f>
        <v>0</v>
      </c>
      <c r="V416" t="str">
        <f>IF($U416=1,SUM($U$2:U416),"")</f>
        <v/>
      </c>
      <c r="W416">
        <f t="shared" si="41"/>
        <v>0</v>
      </c>
      <c r="X416" t="str">
        <f>IF($W416=1,SUM($W$2:W416),"")</f>
        <v/>
      </c>
    </row>
    <row r="417" spans="1:24" x14ac:dyDescent="0.3">
      <c r="A417">
        <f>IF(OR($BA1="Any",$BA1=""),1,IF('All Data'!$B417=$BA1,1,0))</f>
        <v>0</v>
      </c>
      <c r="B417">
        <f>IF(OR($BA2="Any",$BA2=""),1,IF('All Data'!$C417=$BA2,1,0))</f>
        <v>1</v>
      </c>
      <c r="C417">
        <f>IF(OR($BA3="Any",$BA3=""),1,IF('All Data'!$D417=$BA3,1,0))</f>
        <v>1</v>
      </c>
      <c r="D417">
        <f>IF(OR($BA4="Any",$BA4=""),1,IF('All Data'!$E417=$BA4,1,0))</f>
        <v>1</v>
      </c>
      <c r="E417">
        <f>IF(OR($BA5="Any",$BA5=""),1,IF('All Data'!$F417=$BA5,1,0))</f>
        <v>1</v>
      </c>
      <c r="F417">
        <f>IF(OR($BA6="Any",$BA6=""),1,IF('All Data'!$G417=$BA6,1,0))</f>
        <v>0</v>
      </c>
      <c r="G417">
        <f>IF(AND(OR($BA$8="",ISNUMBER(SEARCH($BA$8,'All Data'!$K417&amp;" "&amp;'All Data'!$M417))),OR($BA$9="",ISNUMBER(SEARCH($BA$9,'All Data'!$K417&amp;" "&amp;'All Data'!$M417))),OR($BA$10="",ISNUMBER(SEARCH($BA$10,'All Data'!$K417&amp;" "&amp;'All Data'!$M417))),OR($BA$11="",ISNUMBER(SEARCH($BA$11,'All Data'!$K417&amp;" "&amp;'All Data'!$M417))),OR($BA$12="",ISNUMBER(SEARCH($BA$12,'All Data'!$K417&amp;" "&amp;'All Data'!$M417))),OR($BA$13="",ISNUMBER(SEARCH($BA$13,'All Data'!$K417&amp;" "&amp;'All Data'!$M417))),OR($BA$14="",ISNUMBER(SEARCH($BA$14,'All Data'!$K417&amp;" "&amp;'All Data'!$M417))),OR($BA$15="",ISNUMBER(SEARCH($BA$15,'All Data'!$K417&amp;" "&amp;'All Data'!$M417)))),1,0)</f>
        <v>1</v>
      </c>
      <c r="H417">
        <f t="shared" si="36"/>
        <v>0</v>
      </c>
      <c r="I417">
        <f>IF(AND($H417=1,'All Data'!$C417&lt;&gt;"",COUNTIFS($H$2:H416,1,'All Data'!$C$2:$C416,'All Data'!$C417)=0),1,0)</f>
        <v>0</v>
      </c>
      <c r="J417" t="str">
        <f>IF($I417=1,SUM($I$2:I417),"")</f>
        <v/>
      </c>
      <c r="K417">
        <f t="shared" si="37"/>
        <v>0</v>
      </c>
      <c r="L417">
        <f>IF(AND($K417=1,'All Data'!$D417&lt;&gt;"",COUNTIFS($K$2:K416,1,'All Data'!$D$2:$D416,'All Data'!$D417)=0),1,0)</f>
        <v>0</v>
      </c>
      <c r="M417" t="str">
        <f>IF($L417=1,SUM($L$2:L417),"")</f>
        <v/>
      </c>
      <c r="N417">
        <f t="shared" si="38"/>
        <v>0</v>
      </c>
      <c r="O417">
        <f>IF(AND($N417=1,'All Data'!$E417&lt;&gt;"",COUNTIFS($N$2:N416,1,'All Data'!$E$2:$E416,'All Data'!$E417)=0),1,0)</f>
        <v>0</v>
      </c>
      <c r="P417" t="str">
        <f>IF($O417=1,SUM($O$2:O417),"")</f>
        <v/>
      </c>
      <c r="Q417">
        <f t="shared" si="39"/>
        <v>0</v>
      </c>
      <c r="R417">
        <f>IF(AND($Q417=1,'All Data'!$F417&lt;&gt;"",COUNTIFS($Q$2:Q416,1,'All Data'!$F$2:$F416,'All Data'!$F417)=0),1,0)</f>
        <v>0</v>
      </c>
      <c r="S417" t="str">
        <f>IF($R417=1,SUM($R$2:R417),"")</f>
        <v/>
      </c>
      <c r="T417">
        <f t="shared" si="40"/>
        <v>0</v>
      </c>
      <c r="U417">
        <f>IF(AND($T417=1,'All Data'!$G417&lt;&gt;"",COUNTIFS($T$2:T416,1,'All Data'!$G$2:$G416,'All Data'!$G417)=0),1,0)</f>
        <v>0</v>
      </c>
      <c r="V417" t="str">
        <f>IF($U417=1,SUM($U$2:U417),"")</f>
        <v/>
      </c>
      <c r="W417">
        <f t="shared" si="41"/>
        <v>0</v>
      </c>
      <c r="X417" t="str">
        <f>IF($W417=1,SUM($W$2:W417),"")</f>
        <v/>
      </c>
    </row>
    <row r="418" spans="1:24" x14ac:dyDescent="0.3">
      <c r="A418">
        <f>IF(OR($BA1="Any",$BA1=""),1,IF('All Data'!$B418=$BA1,1,0))</f>
        <v>0</v>
      </c>
      <c r="B418">
        <f>IF(OR($BA2="Any",$BA2=""),1,IF('All Data'!$C418=$BA2,1,0))</f>
        <v>1</v>
      </c>
      <c r="C418">
        <f>IF(OR($BA3="Any",$BA3=""),1,IF('All Data'!$D418=$BA3,1,0))</f>
        <v>1</v>
      </c>
      <c r="D418">
        <f>IF(OR($BA4="Any",$BA4=""),1,IF('All Data'!$E418=$BA4,1,0))</f>
        <v>1</v>
      </c>
      <c r="E418">
        <f>IF(OR($BA5="Any",$BA5=""),1,IF('All Data'!$F418=$BA5,1,0))</f>
        <v>1</v>
      </c>
      <c r="F418">
        <f>IF(OR($BA6="Any",$BA6=""),1,IF('All Data'!$G418=$BA6,1,0))</f>
        <v>0</v>
      </c>
      <c r="G418">
        <f>IF(AND(OR($BA$8="",ISNUMBER(SEARCH($BA$8,'All Data'!$K418&amp;" "&amp;'All Data'!$M418))),OR($BA$9="",ISNUMBER(SEARCH($BA$9,'All Data'!$K418&amp;" "&amp;'All Data'!$M418))),OR($BA$10="",ISNUMBER(SEARCH($BA$10,'All Data'!$K418&amp;" "&amp;'All Data'!$M418))),OR($BA$11="",ISNUMBER(SEARCH($BA$11,'All Data'!$K418&amp;" "&amp;'All Data'!$M418))),OR($BA$12="",ISNUMBER(SEARCH($BA$12,'All Data'!$K418&amp;" "&amp;'All Data'!$M418))),OR($BA$13="",ISNUMBER(SEARCH($BA$13,'All Data'!$K418&amp;" "&amp;'All Data'!$M418))),OR($BA$14="",ISNUMBER(SEARCH($BA$14,'All Data'!$K418&amp;" "&amp;'All Data'!$M418))),OR($BA$15="",ISNUMBER(SEARCH($BA$15,'All Data'!$K418&amp;" "&amp;'All Data'!$M418)))),1,0)</f>
        <v>1</v>
      </c>
      <c r="H418">
        <f t="shared" si="36"/>
        <v>0</v>
      </c>
      <c r="I418">
        <f>IF(AND($H418=1,'All Data'!$C418&lt;&gt;"",COUNTIFS($H$2:H417,1,'All Data'!$C$2:$C417,'All Data'!$C418)=0),1,0)</f>
        <v>0</v>
      </c>
      <c r="J418" t="str">
        <f>IF($I418=1,SUM($I$2:I418),"")</f>
        <v/>
      </c>
      <c r="K418">
        <f t="shared" si="37"/>
        <v>0</v>
      </c>
      <c r="L418">
        <f>IF(AND($K418=1,'All Data'!$D418&lt;&gt;"",COUNTIFS($K$2:K417,1,'All Data'!$D$2:$D417,'All Data'!$D418)=0),1,0)</f>
        <v>0</v>
      </c>
      <c r="M418" t="str">
        <f>IF($L418=1,SUM($L$2:L418),"")</f>
        <v/>
      </c>
      <c r="N418">
        <f t="shared" si="38"/>
        <v>0</v>
      </c>
      <c r="O418">
        <f>IF(AND($N418=1,'All Data'!$E418&lt;&gt;"",COUNTIFS($N$2:N417,1,'All Data'!$E$2:$E417,'All Data'!$E418)=0),1,0)</f>
        <v>0</v>
      </c>
      <c r="P418" t="str">
        <f>IF($O418=1,SUM($O$2:O418),"")</f>
        <v/>
      </c>
      <c r="Q418">
        <f t="shared" si="39"/>
        <v>0</v>
      </c>
      <c r="R418">
        <f>IF(AND($Q418=1,'All Data'!$F418&lt;&gt;"",COUNTIFS($Q$2:Q417,1,'All Data'!$F$2:$F417,'All Data'!$F418)=0),1,0)</f>
        <v>0</v>
      </c>
      <c r="S418" t="str">
        <f>IF($R418=1,SUM($R$2:R418),"")</f>
        <v/>
      </c>
      <c r="T418">
        <f t="shared" si="40"/>
        <v>0</v>
      </c>
      <c r="U418">
        <f>IF(AND($T418=1,'All Data'!$G418&lt;&gt;"",COUNTIFS($T$2:T417,1,'All Data'!$G$2:$G417,'All Data'!$G418)=0),1,0)</f>
        <v>0</v>
      </c>
      <c r="V418" t="str">
        <f>IF($U418=1,SUM($U$2:U418),"")</f>
        <v/>
      </c>
      <c r="W418">
        <f t="shared" si="41"/>
        <v>0</v>
      </c>
      <c r="X418" t="str">
        <f>IF($W418=1,SUM($W$2:W418),"")</f>
        <v/>
      </c>
    </row>
    <row r="419" spans="1:24" x14ac:dyDescent="0.3">
      <c r="A419">
        <f>IF(OR($BA1="Any",$BA1=""),1,IF('All Data'!$B419=$BA1,1,0))</f>
        <v>0</v>
      </c>
      <c r="B419">
        <f>IF(OR($BA2="Any",$BA2=""),1,IF('All Data'!$C419=$BA2,1,0))</f>
        <v>1</v>
      </c>
      <c r="C419">
        <f>IF(OR($BA3="Any",$BA3=""),1,IF('All Data'!$D419=$BA3,1,0))</f>
        <v>1</v>
      </c>
      <c r="D419">
        <f>IF(OR($BA4="Any",$BA4=""),1,IF('All Data'!$E419=$BA4,1,0))</f>
        <v>1</v>
      </c>
      <c r="E419">
        <f>IF(OR($BA5="Any",$BA5=""),1,IF('All Data'!$F419=$BA5,1,0))</f>
        <v>1</v>
      </c>
      <c r="F419">
        <f>IF(OR($BA6="Any",$BA6=""),1,IF('All Data'!$G419=$BA6,1,0))</f>
        <v>0</v>
      </c>
      <c r="G419">
        <f>IF(AND(OR($BA$8="",ISNUMBER(SEARCH($BA$8,'All Data'!$K419&amp;" "&amp;'All Data'!$M419))),OR($BA$9="",ISNUMBER(SEARCH($BA$9,'All Data'!$K419&amp;" "&amp;'All Data'!$M419))),OR($BA$10="",ISNUMBER(SEARCH($BA$10,'All Data'!$K419&amp;" "&amp;'All Data'!$M419))),OR($BA$11="",ISNUMBER(SEARCH($BA$11,'All Data'!$K419&amp;" "&amp;'All Data'!$M419))),OR($BA$12="",ISNUMBER(SEARCH($BA$12,'All Data'!$K419&amp;" "&amp;'All Data'!$M419))),OR($BA$13="",ISNUMBER(SEARCH($BA$13,'All Data'!$K419&amp;" "&amp;'All Data'!$M419))),OR($BA$14="",ISNUMBER(SEARCH($BA$14,'All Data'!$K419&amp;" "&amp;'All Data'!$M419))),OR($BA$15="",ISNUMBER(SEARCH($BA$15,'All Data'!$K419&amp;" "&amp;'All Data'!$M419)))),1,0)</f>
        <v>1</v>
      </c>
      <c r="H419">
        <f t="shared" si="36"/>
        <v>0</v>
      </c>
      <c r="I419">
        <f>IF(AND($H419=1,'All Data'!$C419&lt;&gt;"",COUNTIFS($H$2:H418,1,'All Data'!$C$2:$C418,'All Data'!$C419)=0),1,0)</f>
        <v>0</v>
      </c>
      <c r="J419" t="str">
        <f>IF($I419=1,SUM($I$2:I419),"")</f>
        <v/>
      </c>
      <c r="K419">
        <f t="shared" si="37"/>
        <v>0</v>
      </c>
      <c r="L419">
        <f>IF(AND($K419=1,'All Data'!$D419&lt;&gt;"",COUNTIFS($K$2:K418,1,'All Data'!$D$2:$D418,'All Data'!$D419)=0),1,0)</f>
        <v>0</v>
      </c>
      <c r="M419" t="str">
        <f>IF($L419=1,SUM($L$2:L419),"")</f>
        <v/>
      </c>
      <c r="N419">
        <f t="shared" si="38"/>
        <v>0</v>
      </c>
      <c r="O419">
        <f>IF(AND($N419=1,'All Data'!$E419&lt;&gt;"",COUNTIFS($N$2:N418,1,'All Data'!$E$2:$E418,'All Data'!$E419)=0),1,0)</f>
        <v>0</v>
      </c>
      <c r="P419" t="str">
        <f>IF($O419=1,SUM($O$2:O419),"")</f>
        <v/>
      </c>
      <c r="Q419">
        <f t="shared" si="39"/>
        <v>0</v>
      </c>
      <c r="R419">
        <f>IF(AND($Q419=1,'All Data'!$F419&lt;&gt;"",COUNTIFS($Q$2:Q418,1,'All Data'!$F$2:$F418,'All Data'!$F419)=0),1,0)</f>
        <v>0</v>
      </c>
      <c r="S419" t="str">
        <f>IF($R419=1,SUM($R$2:R419),"")</f>
        <v/>
      </c>
      <c r="T419">
        <f t="shared" si="40"/>
        <v>0</v>
      </c>
      <c r="U419">
        <f>IF(AND($T419=1,'All Data'!$G419&lt;&gt;"",COUNTIFS($T$2:T418,1,'All Data'!$G$2:$G418,'All Data'!$G419)=0),1,0)</f>
        <v>0</v>
      </c>
      <c r="V419" t="str">
        <f>IF($U419=1,SUM($U$2:U419),"")</f>
        <v/>
      </c>
      <c r="W419">
        <f t="shared" si="41"/>
        <v>0</v>
      </c>
      <c r="X419" t="str">
        <f>IF($W419=1,SUM($W$2:W419),"")</f>
        <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1D5DB"/>
  </sheetPr>
  <dimension ref="A1:C36"/>
  <sheetViews>
    <sheetView showGridLines="0" zoomScaleNormal="100" workbookViewId="0">
      <selection activeCell="B2" sqref="B2"/>
    </sheetView>
  </sheetViews>
  <sheetFormatPr defaultColWidth="0" defaultRowHeight="14.4" zeroHeight="1" x14ac:dyDescent="0.3"/>
  <cols>
    <col min="1" max="1" width="3" customWidth="1"/>
    <col min="2" max="2" width="118" customWidth="1"/>
    <col min="3" max="3" width="8.6640625" customWidth="1"/>
    <col min="4" max="16384" width="8.6640625" hidden="1"/>
  </cols>
  <sheetData>
    <row r="1" spans="1:3" ht="7.5" customHeight="1" x14ac:dyDescent="0.3">
      <c r="A1" s="18"/>
      <c r="B1" s="18"/>
      <c r="C1" s="18"/>
    </row>
    <row r="2" spans="1:3" ht="22.8" x14ac:dyDescent="0.4">
      <c r="A2" s="18"/>
      <c r="B2" s="19" t="s">
        <v>1108</v>
      </c>
      <c r="C2" s="18"/>
    </row>
    <row r="3" spans="1:3" x14ac:dyDescent="0.3">
      <c r="A3" s="18"/>
      <c r="B3" s="18"/>
      <c r="C3" s="18"/>
    </row>
    <row r="4" spans="1:3" x14ac:dyDescent="0.3">
      <c r="B4" s="15" t="s">
        <v>1109</v>
      </c>
    </row>
    <row r="5" spans="1:3" ht="37.5" customHeight="1" x14ac:dyDescent="0.3">
      <c r="B5" s="16" t="s">
        <v>1110</v>
      </c>
    </row>
    <row r="6" spans="1:3" x14ac:dyDescent="0.3"/>
    <row r="7" spans="1:3" x14ac:dyDescent="0.3">
      <c r="B7" s="15" t="s">
        <v>1111</v>
      </c>
    </row>
    <row r="8" spans="1:3" ht="37.5" customHeight="1" x14ac:dyDescent="0.3">
      <c r="B8" s="16" t="s">
        <v>1112</v>
      </c>
    </row>
    <row r="9" spans="1:3" x14ac:dyDescent="0.3"/>
    <row r="10" spans="1:3" x14ac:dyDescent="0.3">
      <c r="B10" s="15" t="s">
        <v>1113</v>
      </c>
    </row>
    <row r="11" spans="1:3" ht="37.5" customHeight="1" x14ac:dyDescent="0.3">
      <c r="B11" s="16" t="s">
        <v>1114</v>
      </c>
    </row>
    <row r="12" spans="1:3" x14ac:dyDescent="0.3"/>
    <row r="13" spans="1:3" x14ac:dyDescent="0.3">
      <c r="B13" s="15" t="s">
        <v>1115</v>
      </c>
    </row>
    <row r="14" spans="1:3" ht="37.5" customHeight="1" x14ac:dyDescent="0.3">
      <c r="B14" s="16" t="s">
        <v>1116</v>
      </c>
    </row>
    <row r="15" spans="1:3" x14ac:dyDescent="0.3"/>
    <row r="16" spans="1:3" x14ac:dyDescent="0.3">
      <c r="B16" s="15" t="s">
        <v>1117</v>
      </c>
    </row>
    <row r="17" spans="2:2" ht="37.5" customHeight="1" x14ac:dyDescent="0.3">
      <c r="B17" s="16" t="s">
        <v>1118</v>
      </c>
    </row>
    <row r="18" spans="2:2" x14ac:dyDescent="0.3"/>
    <row r="19" spans="2:2" x14ac:dyDescent="0.3">
      <c r="B19" s="15" t="s">
        <v>1119</v>
      </c>
    </row>
    <row r="20" spans="2:2" ht="52.5" customHeight="1" x14ac:dyDescent="0.3">
      <c r="B20" s="16" t="s">
        <v>1120</v>
      </c>
    </row>
    <row r="21" spans="2:2" x14ac:dyDescent="0.3"/>
    <row r="22" spans="2:2" x14ac:dyDescent="0.3">
      <c r="B22" s="15" t="s">
        <v>1121</v>
      </c>
    </row>
    <row r="23" spans="2:2" ht="37.5" customHeight="1" x14ac:dyDescent="0.3">
      <c r="B23" s="16" t="s">
        <v>1122</v>
      </c>
    </row>
    <row r="24" spans="2:2" x14ac:dyDescent="0.3"/>
    <row r="25" spans="2:2" x14ac:dyDescent="0.3">
      <c r="B25" s="15" t="s">
        <v>1123</v>
      </c>
    </row>
    <row r="26" spans="2:2" ht="52.5" customHeight="1" x14ac:dyDescent="0.3">
      <c r="B26" s="16" t="s">
        <v>1124</v>
      </c>
    </row>
    <row r="27" spans="2:2" x14ac:dyDescent="0.3"/>
    <row r="28" spans="2:2" x14ac:dyDescent="0.3">
      <c r="B28" s="15" t="s">
        <v>1125</v>
      </c>
    </row>
    <row r="29" spans="2:2" x14ac:dyDescent="0.3">
      <c r="B29" s="17" t="str">
        <f>HYPERLINK("https://buildingperformanceexplained.com/2026/05/06/ncm-default-u-values-existing-uk-buildings/","https://buildingperformanceexplained.com/2026/05/06/ncm-default-u-values-existing-uk-buildings/")</f>
        <v>https://buildingperformanceexplained.com/2026/05/06/ncm-default-u-values-existing-uk-buildings/</v>
      </c>
    </row>
    <row r="30" spans="2:2" x14ac:dyDescent="0.3"/>
    <row r="31" spans="2:2" x14ac:dyDescent="0.3">
      <c r="B31" s="15" t="s">
        <v>1126</v>
      </c>
    </row>
    <row r="32" spans="2:2" x14ac:dyDescent="0.3">
      <c r="B32" s="17" t="str">
        <f>HYPERLINK("https://www.uk-ncm.org.uk/download.jsp?id=35","https://www.uk-ncm.org.uk/download.jsp?id=35")</f>
        <v>https://www.uk-ncm.org.uk/download.jsp?id=35</v>
      </c>
    </row>
    <row r="33" spans="2:2" x14ac:dyDescent="0.3"/>
    <row r="34" spans="2:2" x14ac:dyDescent="0.3">
      <c r="B34" s="15" t="s">
        <v>1127</v>
      </c>
    </row>
    <row r="35" spans="2:2" x14ac:dyDescent="0.3">
      <c r="B35" s="17" t="str">
        <f>HYPERLINK("https://buildingperformanceexplained.com","https://buildingperformanceexplained.com")</f>
        <v>https://buildingperformanceexplained.com</v>
      </c>
    </row>
    <row r="36" spans="2:2" x14ac:dyDescent="0.3"/>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Finder</vt:lpstr>
      <vt:lpstr>All Data</vt:lpstr>
      <vt:lpstr>Engine</vt:lpstr>
      <vt:lpstr>About</vt:lpstr>
      <vt:lpstr>Finder!Print_Titles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Steph Ezuma</cp:lastModifiedBy>
  <cp:revision>0</cp:revision>
  <dcterms:created xsi:type="dcterms:W3CDTF">2026-08-25T06:08:36Z</dcterms:created>
  <dcterms:modified xsi:type="dcterms:W3CDTF">2026-08-25T06:23:11Z</dcterms:modified>
  <dc:language>en-US</dc:language>
</cp:coreProperties>
</file>